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145" firstSheet="1" activeTab="1"/>
  </bookViews>
  <sheets>
    <sheet name="Диаграмма1" sheetId="4" state="hidden" r:id="rId1"/>
    <sheet name="Лист2" sheetId="2" r:id="rId2"/>
    <sheet name="Лист1" sheetId="3" r:id="rId3"/>
  </sheets>
  <definedNames>
    <definedName name="_xlnm.Print_Area" localSheetId="1">Лист2!$A$1:$DL$133</definedName>
  </definedNames>
  <calcPr calcId="162913" iterate="1"/>
</workbook>
</file>

<file path=xl/calcChain.xml><?xml version="1.0" encoding="utf-8"?>
<calcChain xmlns="http://schemas.openxmlformats.org/spreadsheetml/2006/main">
  <c r="J3" i="2" l="1"/>
  <c r="N3" i="2"/>
  <c r="P3" i="2" s="1"/>
  <c r="R3" i="2" s="1"/>
  <c r="T3" i="2" s="1"/>
  <c r="V3" i="2" s="1"/>
  <c r="AD3" i="2"/>
  <c r="AH3" i="2"/>
  <c r="CV3" i="2"/>
  <c r="B4" i="2"/>
  <c r="D4" i="2" s="1"/>
  <c r="F4" i="2" s="1"/>
  <c r="AL4" i="2"/>
  <c r="AN4" i="2"/>
  <c r="AP4" i="2" s="1"/>
  <c r="AT4" i="2"/>
  <c r="AV4" i="2"/>
  <c r="AV5" i="2" s="1"/>
  <c r="AX4" i="2"/>
  <c r="AZ4" i="2"/>
  <c r="AZ5" i="2" s="1"/>
  <c r="BB4" i="2"/>
  <c r="BD4" i="2"/>
  <c r="BD5" i="2" s="1"/>
  <c r="BF4" i="2"/>
  <c r="BH4" i="2"/>
  <c r="BJ4" i="2" s="1"/>
  <c r="BL4" i="2" s="1"/>
  <c r="BN4" i="2" s="1"/>
  <c r="BP4" i="2" s="1"/>
  <c r="BR4" i="2" s="1"/>
  <c r="BT4" i="2" s="1"/>
  <c r="BV4" i="2" s="1"/>
  <c r="BX4" i="2" s="1"/>
  <c r="BZ4" i="2" s="1"/>
  <c r="CB4" i="2" s="1"/>
  <c r="CD4" i="2" s="1"/>
  <c r="CF4" i="2" s="1"/>
  <c r="CH4" i="2" s="1"/>
  <c r="CJ4" i="2" s="1"/>
  <c r="CL4" i="2" s="1"/>
  <c r="CN4" i="2" s="1"/>
  <c r="CP4" i="2" s="1"/>
  <c r="CR4" i="2" s="1"/>
  <c r="CT4" i="2" s="1"/>
  <c r="CV4" i="2" s="1"/>
  <c r="DF4" i="2"/>
  <c r="DF5" i="2" s="1"/>
  <c r="AJ5" i="2"/>
  <c r="AL5" i="2"/>
  <c r="AT5" i="2"/>
  <c r="AX5" i="2"/>
  <c r="BB5" i="2"/>
  <c r="CV6" i="2"/>
  <c r="DF9" i="2"/>
  <c r="DF10" i="2" s="1"/>
  <c r="DG9" i="2"/>
  <c r="DG10" i="2" s="1"/>
  <c r="CV15" i="2"/>
  <c r="CW15" i="2"/>
  <c r="DF15" i="2"/>
  <c r="DH9" i="2" s="1"/>
  <c r="DH10" i="2" s="1"/>
  <c r="DG15" i="2"/>
  <c r="DI15" i="2" s="1"/>
  <c r="DH15" i="2"/>
  <c r="CV16" i="2"/>
  <c r="CW16" i="2"/>
  <c r="DF16" i="2"/>
  <c r="DH16" i="2" s="1"/>
  <c r="DG16" i="2"/>
  <c r="DI16" i="2" s="1"/>
  <c r="CV17" i="2"/>
  <c r="CW17" i="2"/>
  <c r="DF17" i="2"/>
  <c r="DG17" i="2"/>
  <c r="DI17" i="2" s="1"/>
  <c r="DH17" i="2"/>
  <c r="CV18" i="2"/>
  <c r="CW18" i="2"/>
  <c r="DF18" i="2"/>
  <c r="DH18" i="2" s="1"/>
  <c r="DG18" i="2"/>
  <c r="DI18" i="2" s="1"/>
  <c r="CV19" i="2"/>
  <c r="CW19" i="2"/>
  <c r="DF19" i="2"/>
  <c r="DH19" i="2" s="1"/>
  <c r="DG19" i="2"/>
  <c r="DI19" i="2" s="1"/>
  <c r="CV20" i="2"/>
  <c r="CW20" i="2"/>
  <c r="DF20" i="2"/>
  <c r="DH20" i="2" s="1"/>
  <c r="DG20" i="2"/>
  <c r="DI20" i="2" s="1"/>
  <c r="DF21" i="2"/>
  <c r="DH21" i="2" s="1"/>
  <c r="DG21" i="2"/>
  <c r="DI21" i="2" s="1"/>
  <c r="CV22" i="2"/>
  <c r="CW22" i="2"/>
  <c r="DF22" i="2"/>
  <c r="DH22" i="2" s="1"/>
  <c r="DG22" i="2"/>
  <c r="DI22" i="2" s="1"/>
  <c r="CV23" i="2"/>
  <c r="CW23" i="2"/>
  <c r="DF23" i="2"/>
  <c r="DH23" i="2" s="1"/>
  <c r="DG23" i="2"/>
  <c r="DI23" i="2" s="1"/>
  <c r="CV24" i="2"/>
  <c r="CW24" i="2"/>
  <c r="DF24" i="2"/>
  <c r="DF25" i="2" s="1"/>
  <c r="DG24" i="2"/>
  <c r="DI24" i="2" s="1"/>
  <c r="DH24" i="2"/>
  <c r="B25"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BS25" i="2"/>
  <c r="BT25" i="2"/>
  <c r="BU25" i="2"/>
  <c r="BV25" i="2"/>
  <c r="BW25" i="2"/>
  <c r="BX25" i="2"/>
  <c r="BY25" i="2"/>
  <c r="BZ25" i="2"/>
  <c r="CA25" i="2"/>
  <c r="CB25" i="2"/>
  <c r="CC25" i="2"/>
  <c r="CD25" i="2"/>
  <c r="CE25" i="2"/>
  <c r="CF25" i="2"/>
  <c r="CG25" i="2"/>
  <c r="CH25" i="2"/>
  <c r="CI25" i="2"/>
  <c r="CJ25" i="2"/>
  <c r="CK25" i="2"/>
  <c r="CL25" i="2"/>
  <c r="CM25" i="2"/>
  <c r="CN25" i="2"/>
  <c r="CO25" i="2"/>
  <c r="CP25" i="2"/>
  <c r="CQ25" i="2"/>
  <c r="CR25" i="2"/>
  <c r="CS25" i="2"/>
  <c r="CT25" i="2"/>
  <c r="CU25" i="2"/>
  <c r="CW25" i="2" s="1"/>
  <c r="CX25" i="2"/>
  <c r="CY25" i="2"/>
  <c r="CZ25" i="2"/>
  <c r="DA25" i="2"/>
  <c r="DB25" i="2"/>
  <c r="DC25" i="2"/>
  <c r="DD25" i="2"/>
  <c r="DE25" i="2"/>
  <c r="DG25" i="2"/>
  <c r="CV26" i="2"/>
  <c r="CW26" i="2"/>
  <c r="DF26" i="2"/>
  <c r="DH26" i="2" s="1"/>
  <c r="DG26" i="2"/>
  <c r="DI26" i="2" s="1"/>
  <c r="CV27" i="2"/>
  <c r="CW27" i="2"/>
  <c r="DF27" i="2"/>
  <c r="DH27" i="2" s="1"/>
  <c r="DG27" i="2"/>
  <c r="DI27" i="2" s="1"/>
  <c r="CV28" i="2"/>
  <c r="CW28" i="2"/>
  <c r="DF28" i="2"/>
  <c r="DG28" i="2"/>
  <c r="DI28" i="2" s="1"/>
  <c r="DH28" i="2"/>
  <c r="CV29" i="2"/>
  <c r="CW29" i="2"/>
  <c r="DF29" i="2"/>
  <c r="DH29" i="2" s="1"/>
  <c r="DG29" i="2"/>
  <c r="DI29" i="2" s="1"/>
  <c r="CV30" i="2"/>
  <c r="CW30" i="2"/>
  <c r="DF30" i="2"/>
  <c r="DG30" i="2"/>
  <c r="DI30" i="2" s="1"/>
  <c r="DH30" i="2"/>
  <c r="CV31" i="2"/>
  <c r="CW31" i="2"/>
  <c r="DF31" i="2"/>
  <c r="DH31" i="2" s="1"/>
  <c r="DG31" i="2"/>
  <c r="DI31" i="2" s="1"/>
  <c r="CV32" i="2"/>
  <c r="CW32" i="2"/>
  <c r="DF32" i="2"/>
  <c r="DH32" i="2" s="1"/>
  <c r="DG32" i="2"/>
  <c r="DI32" i="2" s="1"/>
  <c r="CV33" i="2"/>
  <c r="CW33" i="2"/>
  <c r="DF33" i="2"/>
  <c r="DH33" i="2" s="1"/>
  <c r="DG33" i="2"/>
  <c r="DI33" i="2" s="1"/>
  <c r="CV34" i="2"/>
  <c r="CW34" i="2"/>
  <c r="DF34" i="2"/>
  <c r="DG34" i="2"/>
  <c r="DI34" i="2" s="1"/>
  <c r="DH34" i="2"/>
  <c r="CV35" i="2"/>
  <c r="CW35" i="2"/>
  <c r="DF35" i="2"/>
  <c r="DH35" i="2" s="1"/>
  <c r="DG35" i="2"/>
  <c r="DI35" i="2" s="1"/>
  <c r="CV36" i="2"/>
  <c r="CW36" i="2"/>
  <c r="DF36" i="2"/>
  <c r="DG36" i="2"/>
  <c r="DI36" i="2" s="1"/>
  <c r="DH36" i="2"/>
  <c r="CV37" i="2"/>
  <c r="CW37" i="2"/>
  <c r="DF37" i="2"/>
  <c r="DH37" i="2" s="1"/>
  <c r="DG37" i="2"/>
  <c r="DI37" i="2" s="1"/>
  <c r="CV38" i="2"/>
  <c r="CW38" i="2"/>
  <c r="DF38" i="2"/>
  <c r="DH38" i="2" s="1"/>
  <c r="DG38" i="2"/>
  <c r="DI38" i="2" s="1"/>
  <c r="CV39" i="2"/>
  <c r="CW39" i="2"/>
  <c r="DF39" i="2"/>
  <c r="DH39" i="2" s="1"/>
  <c r="DG39" i="2"/>
  <c r="DI39" i="2" s="1"/>
  <c r="CV40" i="2"/>
  <c r="CW40" i="2"/>
  <c r="DF40" i="2"/>
  <c r="DH40" i="2" s="1"/>
  <c r="DG40" i="2"/>
  <c r="DI40" i="2" s="1"/>
  <c r="CV41" i="2"/>
  <c r="CW41" i="2"/>
  <c r="DF41" i="2"/>
  <c r="DH41" i="2" s="1"/>
  <c r="DG41" i="2"/>
  <c r="DI41" i="2" s="1"/>
  <c r="B42" i="2"/>
  <c r="DF42" i="2" s="1"/>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T52" i="2" s="1"/>
  <c r="DF52" i="2" s="1"/>
  <c r="BU42" i="2"/>
  <c r="BV42" i="2"/>
  <c r="BW42" i="2"/>
  <c r="BX42" i="2"/>
  <c r="BY42" i="2"/>
  <c r="BZ42" i="2"/>
  <c r="CA42" i="2"/>
  <c r="CB42" i="2"/>
  <c r="CC42" i="2"/>
  <c r="CD42" i="2"/>
  <c r="CE42" i="2"/>
  <c r="CF42" i="2"/>
  <c r="CG42" i="2"/>
  <c r="CH42" i="2"/>
  <c r="CI42" i="2"/>
  <c r="CJ42" i="2"/>
  <c r="CK42" i="2"/>
  <c r="CL42" i="2"/>
  <c r="CM42" i="2"/>
  <c r="CN42" i="2"/>
  <c r="CO42" i="2"/>
  <c r="CP42" i="2"/>
  <c r="CQ42" i="2"/>
  <c r="CR42" i="2"/>
  <c r="DB42" i="2" s="1"/>
  <c r="CS42" i="2"/>
  <c r="CT42" i="2"/>
  <c r="CU42" i="2"/>
  <c r="CW42" i="2"/>
  <c r="CX42" i="2"/>
  <c r="CY42" i="2"/>
  <c r="CZ42" i="2"/>
  <c r="DA42" i="2"/>
  <c r="DC42" i="2"/>
  <c r="DD42" i="2"/>
  <c r="DE42" i="2"/>
  <c r="DG42" i="2"/>
  <c r="AB44" i="2"/>
  <c r="AD44" i="2"/>
  <c r="AF44" i="2"/>
  <c r="AH44" i="2"/>
  <c r="AJ44" i="2"/>
  <c r="AL44" i="2"/>
  <c r="AN44" i="2"/>
  <c r="AP44" i="2"/>
  <c r="AR44" i="2"/>
  <c r="AT44" i="2"/>
  <c r="AV44" i="2"/>
  <c r="AX44" i="2"/>
  <c r="AZ44" i="2"/>
  <c r="BB44" i="2"/>
  <c r="BD44" i="2"/>
  <c r="BH44" i="2"/>
  <c r="BJ44" i="2"/>
  <c r="BL44" i="2"/>
  <c r="BN44" i="2"/>
  <c r="BP44" i="2"/>
  <c r="BR44" i="2"/>
  <c r="BT44" i="2"/>
  <c r="BV44" i="2"/>
  <c r="BX44" i="2"/>
  <c r="BZ44" i="2"/>
  <c r="CB44" i="2"/>
  <c r="CD44" i="2"/>
  <c r="CF44" i="2"/>
  <c r="CH44" i="2"/>
  <c r="CL44" i="2"/>
  <c r="CN44" i="2"/>
  <c r="CP44" i="2"/>
  <c r="CR44" i="2"/>
  <c r="CV44" i="2"/>
  <c r="CV46" i="2"/>
  <c r="CW46" i="2"/>
  <c r="DF46" i="2"/>
  <c r="DG46" i="2"/>
  <c r="CV47" i="2"/>
  <c r="CW47" i="2"/>
  <c r="DF47" i="2"/>
  <c r="DG47" i="2"/>
  <c r="CV48" i="2"/>
  <c r="CW48" i="2"/>
  <c r="DF48" i="2"/>
  <c r="DG48" i="2"/>
  <c r="DF49" i="2"/>
  <c r="DG49" i="2"/>
  <c r="CV50" i="2"/>
  <c r="CW50" i="2"/>
  <c r="DF50" i="2"/>
  <c r="DG50" i="2"/>
  <c r="CV51" i="2"/>
  <c r="CW51" i="2"/>
  <c r="DF51" i="2"/>
  <c r="DG51" i="2"/>
  <c r="BU52" i="2"/>
  <c r="CV52" i="2"/>
  <c r="CW52" i="2"/>
  <c r="DG52" i="2"/>
  <c r="CV42" i="2" l="1"/>
  <c r="CV25" i="2"/>
  <c r="DI25" i="2"/>
  <c r="DH25" i="2"/>
  <c r="AR4" i="2"/>
  <c r="AR5" i="2" s="1"/>
  <c r="AP5" i="2"/>
  <c r="DH42" i="2"/>
  <c r="DI42" i="2"/>
  <c r="H4" i="2"/>
  <c r="F5" i="2"/>
  <c r="DI9" i="2"/>
  <c r="DI10" i="2" s="1"/>
  <c r="AN5" i="2"/>
  <c r="CV119" i="2"/>
  <c r="CW119" i="2"/>
  <c r="CV120" i="2"/>
  <c r="CW120" i="2"/>
  <c r="CV121" i="2"/>
  <c r="CW121" i="2"/>
  <c r="CV122" i="2"/>
  <c r="CW122" i="2"/>
  <c r="CV123" i="2"/>
  <c r="CW123" i="2"/>
  <c r="CV124" i="2"/>
  <c r="CW124" i="2"/>
  <c r="CV79" i="2"/>
  <c r="CW79" i="2"/>
  <c r="CV80" i="2"/>
  <c r="CW80" i="2"/>
  <c r="CV81" i="2"/>
  <c r="CW81" i="2"/>
  <c r="CV82" i="2"/>
  <c r="CW82" i="2"/>
  <c r="CV83" i="2"/>
  <c r="CW83" i="2"/>
  <c r="CV84" i="2"/>
  <c r="CW84" i="2"/>
  <c r="CV85" i="2"/>
  <c r="CW85" i="2"/>
  <c r="CV86" i="2"/>
  <c r="CW86" i="2"/>
  <c r="CV87" i="2"/>
  <c r="CW87" i="2"/>
  <c r="CV88" i="2"/>
  <c r="CW88" i="2"/>
  <c r="CV89" i="2"/>
  <c r="CW89" i="2"/>
  <c r="CV90" i="2"/>
  <c r="CW90" i="2"/>
  <c r="CV91" i="2"/>
  <c r="CW91" i="2"/>
  <c r="CV92" i="2"/>
  <c r="CW92" i="2"/>
  <c r="CV93" i="2"/>
  <c r="CW93" i="2"/>
  <c r="CV94" i="2"/>
  <c r="CW94" i="2"/>
  <c r="CV95" i="2"/>
  <c r="CW95" i="2"/>
  <c r="CV96" i="2"/>
  <c r="CW96" i="2"/>
  <c r="CV97" i="2"/>
  <c r="CW97" i="2"/>
  <c r="CV98" i="2"/>
  <c r="CW98" i="2"/>
  <c r="CV99" i="2"/>
  <c r="CW99" i="2"/>
  <c r="CV100" i="2"/>
  <c r="CW100" i="2"/>
  <c r="CV101" i="2"/>
  <c r="CW101" i="2"/>
  <c r="CV102" i="2"/>
  <c r="CW102" i="2"/>
  <c r="CV103" i="2"/>
  <c r="CW103" i="2"/>
  <c r="CV104" i="2"/>
  <c r="CW104" i="2"/>
  <c r="CV105" i="2"/>
  <c r="CW105" i="2"/>
  <c r="CV106" i="2"/>
  <c r="CW106" i="2"/>
  <c r="CV107" i="2"/>
  <c r="CW107" i="2"/>
  <c r="CV108" i="2"/>
  <c r="CW108" i="2"/>
  <c r="CV109" i="2"/>
  <c r="CW109" i="2"/>
  <c r="CV110" i="2"/>
  <c r="CW110" i="2"/>
  <c r="CV111" i="2"/>
  <c r="CW111" i="2"/>
  <c r="CV112" i="2"/>
  <c r="CW112" i="2"/>
  <c r="CV113" i="2"/>
  <c r="CW113" i="2"/>
  <c r="CV114" i="2"/>
  <c r="CW114" i="2"/>
  <c r="CV115" i="2"/>
  <c r="CW115" i="2"/>
  <c r="CV116" i="2"/>
  <c r="CW116" i="2"/>
  <c r="CV117" i="2"/>
  <c r="CW117" i="2"/>
  <c r="CV118" i="2"/>
  <c r="CW118" i="2"/>
  <c r="CV56" i="2"/>
  <c r="CW56" i="2"/>
  <c r="CV57" i="2"/>
  <c r="CW57" i="2"/>
  <c r="CV58" i="2"/>
  <c r="CW58" i="2"/>
  <c r="CV59" i="2"/>
  <c r="CW59" i="2"/>
  <c r="CV60" i="2"/>
  <c r="CW60" i="2"/>
  <c r="CV61" i="2"/>
  <c r="CW61" i="2"/>
  <c r="CV62" i="2"/>
  <c r="CW62" i="2"/>
  <c r="CV63" i="2"/>
  <c r="CW63" i="2"/>
  <c r="CV64" i="2"/>
  <c r="CW64" i="2"/>
  <c r="CV65" i="2"/>
  <c r="CW65" i="2"/>
  <c r="CV66" i="2"/>
  <c r="CW66" i="2"/>
  <c r="CV67" i="2"/>
  <c r="CW67" i="2"/>
  <c r="CV68" i="2"/>
  <c r="CW68" i="2"/>
  <c r="CV69" i="2"/>
  <c r="CW69" i="2"/>
  <c r="CV70" i="2"/>
  <c r="CW70" i="2"/>
  <c r="CV71" i="2"/>
  <c r="CW71" i="2"/>
  <c r="CV72" i="2"/>
  <c r="CW72" i="2"/>
  <c r="CV73" i="2"/>
  <c r="CW73" i="2"/>
  <c r="CV74" i="2"/>
  <c r="CW74" i="2"/>
  <c r="CV75" i="2"/>
  <c r="CW75" i="2"/>
  <c r="CV76" i="2"/>
  <c r="CW76" i="2"/>
  <c r="CV77" i="2"/>
  <c r="CW77" i="2"/>
  <c r="CV78" i="2"/>
  <c r="CW78" i="2"/>
  <c r="CV127" i="2"/>
  <c r="H5" i="2" l="1"/>
  <c r="J4" i="2"/>
  <c r="CB125" i="2"/>
  <c r="J5" i="2" l="1"/>
  <c r="L4" i="2"/>
  <c r="BP125" i="2"/>
  <c r="N4" i="2" l="1"/>
  <c r="L5" i="2"/>
  <c r="BL127" i="2"/>
  <c r="P4" i="2" l="1"/>
  <c r="N5" i="2"/>
  <c r="BI125" i="2"/>
  <c r="P5" i="2" l="1"/>
  <c r="R4" i="2"/>
  <c r="AP127" i="2"/>
  <c r="R5" i="2" l="1"/>
  <c r="T4" i="2"/>
  <c r="DF118" i="2"/>
  <c r="V4" i="2" l="1"/>
  <c r="T5" i="2"/>
  <c r="J55" i="2"/>
  <c r="K55" i="2"/>
  <c r="I55" i="2"/>
  <c r="X4" i="2" l="1"/>
  <c r="V5" i="2"/>
  <c r="C55" i="2"/>
  <c r="X5" i="2" l="1"/>
  <c r="Z4" i="2"/>
  <c r="B127" i="2"/>
  <c r="DF56" i="2"/>
  <c r="DH56" i="2" s="1"/>
  <c r="DF57" i="2"/>
  <c r="DF58" i="2"/>
  <c r="DH58" i="2" s="1"/>
  <c r="DF59" i="2"/>
  <c r="DF60" i="2"/>
  <c r="DF61" i="2"/>
  <c r="DF62" i="2"/>
  <c r="DF63" i="2"/>
  <c r="DF64" i="2"/>
  <c r="DF65" i="2"/>
  <c r="DF66" i="2"/>
  <c r="DF68" i="2"/>
  <c r="DF70" i="2"/>
  <c r="DF71" i="2"/>
  <c r="DF72" i="2"/>
  <c r="DF73" i="2"/>
  <c r="DF74" i="2"/>
  <c r="DF75" i="2"/>
  <c r="DF76" i="2"/>
  <c r="DF77" i="2"/>
  <c r="DF78" i="2"/>
  <c r="DF79" i="2"/>
  <c r="DF80" i="2"/>
  <c r="DF81" i="2"/>
  <c r="DF82" i="2"/>
  <c r="DH82" i="2" s="1"/>
  <c r="DF83" i="2"/>
  <c r="DF84" i="2"/>
  <c r="DF85" i="2"/>
  <c r="DF86" i="2"/>
  <c r="DF87" i="2"/>
  <c r="DF88" i="2"/>
  <c r="DH88" i="2" s="1"/>
  <c r="DF89" i="2"/>
  <c r="DF90" i="2"/>
  <c r="DF91" i="2"/>
  <c r="DF92" i="2"/>
  <c r="DF93" i="2"/>
  <c r="DF94" i="2"/>
  <c r="DF95" i="2"/>
  <c r="DF96" i="2"/>
  <c r="DF97" i="2"/>
  <c r="DF98" i="2"/>
  <c r="DF99" i="2"/>
  <c r="DF100" i="2"/>
  <c r="DF101" i="2"/>
  <c r="DF102" i="2"/>
  <c r="DF103" i="2"/>
  <c r="DF104" i="2"/>
  <c r="DF105" i="2"/>
  <c r="DF106" i="2"/>
  <c r="DF107" i="2"/>
  <c r="DF108" i="2"/>
  <c r="DF109" i="2"/>
  <c r="DF110" i="2"/>
  <c r="DF111" i="2"/>
  <c r="DF112" i="2"/>
  <c r="DH112" i="2" s="1"/>
  <c r="DF113" i="2"/>
  <c r="DF114" i="2"/>
  <c r="DF115" i="2"/>
  <c r="DF116" i="2"/>
  <c r="DF117" i="2"/>
  <c r="DF119" i="2"/>
  <c r="DF120" i="2"/>
  <c r="DF121" i="2"/>
  <c r="DF122" i="2"/>
  <c r="DH122" i="2" s="1"/>
  <c r="DF123" i="2"/>
  <c r="DF124" i="2"/>
  <c r="Z5" i="2" l="1"/>
  <c r="AB4" i="2"/>
  <c r="DH123" i="2"/>
  <c r="AD4" i="2" l="1"/>
  <c r="AB5" i="2"/>
  <c r="DH66" i="2"/>
  <c r="DH72" i="2"/>
  <c r="DH74" i="2"/>
  <c r="DH78" i="2"/>
  <c r="DH80" i="2"/>
  <c r="DH84" i="2"/>
  <c r="DH86" i="2"/>
  <c r="DH90" i="2"/>
  <c r="DH92" i="2"/>
  <c r="DH94" i="2"/>
  <c r="DH96" i="2"/>
  <c r="DH100" i="2"/>
  <c r="DH102" i="2"/>
  <c r="DH104" i="2"/>
  <c r="DH106" i="2"/>
  <c r="DH108" i="2"/>
  <c r="DH118" i="2"/>
  <c r="DH116" i="2"/>
  <c r="AF4" i="2" l="1"/>
  <c r="AD5" i="2"/>
  <c r="CN127" i="2"/>
  <c r="AF5" i="2" l="1"/>
  <c r="AH4" i="2"/>
  <c r="AH5" i="2" s="1"/>
  <c r="A54" i="2"/>
  <c r="AV125" i="2" l="1"/>
  <c r="AH127" i="2" l="1"/>
  <c r="T125" i="2" l="1"/>
  <c r="R127" i="2" l="1"/>
  <c r="T127" i="2"/>
  <c r="V127" i="2"/>
  <c r="X127" i="2"/>
  <c r="Z127" i="2"/>
  <c r="AB127" i="2"/>
  <c r="AD127" i="2"/>
  <c r="AF127" i="2"/>
  <c r="AJ127" i="2"/>
  <c r="AL127" i="2"/>
  <c r="AN127" i="2"/>
  <c r="AR127" i="2"/>
  <c r="AT127" i="2"/>
  <c r="AV127" i="2"/>
  <c r="AX127" i="2"/>
  <c r="AZ127" i="2"/>
  <c r="BB127" i="2"/>
  <c r="BD127" i="2"/>
  <c r="BF127" i="2"/>
  <c r="BH127" i="2"/>
  <c r="BJ127" i="2"/>
  <c r="BN127" i="2"/>
  <c r="BP127" i="2"/>
  <c r="BR127" i="2"/>
  <c r="BT127" i="2"/>
  <c r="BV127" i="2"/>
  <c r="BX127" i="2"/>
  <c r="BZ127" i="2"/>
  <c r="CB127" i="2"/>
  <c r="CD127" i="2"/>
  <c r="CF127" i="2"/>
  <c r="CH127" i="2"/>
  <c r="CJ127" i="2"/>
  <c r="CL127" i="2"/>
  <c r="CP127" i="2"/>
  <c r="CR127" i="2"/>
  <c r="CT127" i="2"/>
  <c r="CX127" i="2"/>
  <c r="CZ127" i="2"/>
  <c r="DB127" i="2"/>
  <c r="DD127" i="2"/>
  <c r="B55" i="2" l="1"/>
  <c r="DG56" i="2"/>
  <c r="DI56" i="2" s="1"/>
  <c r="DG57" i="2"/>
  <c r="DG58" i="2"/>
  <c r="DI58" i="2" s="1"/>
  <c r="DG59" i="2"/>
  <c r="DH60" i="2"/>
  <c r="DG60" i="2"/>
  <c r="DI60" i="2" s="1"/>
  <c r="DG61" i="2"/>
  <c r="DH62" i="2"/>
  <c r="DG62" i="2"/>
  <c r="DI62" i="2" s="1"/>
  <c r="DG63" i="2"/>
  <c r="DH64" i="2"/>
  <c r="DG64" i="2"/>
  <c r="DI64" i="2" s="1"/>
  <c r="DG65" i="2"/>
  <c r="DG66" i="2"/>
  <c r="DI66" i="2" s="1"/>
  <c r="DH68" i="2"/>
  <c r="DG68" i="2"/>
  <c r="DI68" i="2" s="1"/>
  <c r="DH70" i="2"/>
  <c r="DG70" i="2"/>
  <c r="DI70" i="2" s="1"/>
  <c r="DG71" i="2"/>
  <c r="DG72" i="2"/>
  <c r="DI72" i="2" s="1"/>
  <c r="DG73" i="2"/>
  <c r="DG74" i="2"/>
  <c r="DI74" i="2" s="1"/>
  <c r="DG75" i="2"/>
  <c r="DH76" i="2"/>
  <c r="DG76" i="2"/>
  <c r="DI76" i="2" s="1"/>
  <c r="DG77" i="2"/>
  <c r="DG78" i="2"/>
  <c r="DI78" i="2" s="1"/>
  <c r="DG79" i="2"/>
  <c r="DG80" i="2"/>
  <c r="DI80" i="2" s="1"/>
  <c r="DG81" i="2"/>
  <c r="DG82" i="2"/>
  <c r="DI82" i="2" s="1"/>
  <c r="DG83" i="2"/>
  <c r="DG84" i="2"/>
  <c r="DI84" i="2" s="1"/>
  <c r="DG85" i="2"/>
  <c r="DG86" i="2"/>
  <c r="DI86" i="2" s="1"/>
  <c r="DG87" i="2"/>
  <c r="DG88" i="2"/>
  <c r="DI88" i="2" s="1"/>
  <c r="DG89" i="2"/>
  <c r="DG90" i="2"/>
  <c r="DI90" i="2" s="1"/>
  <c r="DG91" i="2"/>
  <c r="DG92" i="2"/>
  <c r="DI92" i="2" s="1"/>
  <c r="DG93" i="2"/>
  <c r="DG94" i="2"/>
  <c r="DI94" i="2" s="1"/>
  <c r="DG95" i="2"/>
  <c r="DG96" i="2"/>
  <c r="DI96" i="2" s="1"/>
  <c r="DG97" i="2"/>
  <c r="DH98" i="2"/>
  <c r="DG98" i="2"/>
  <c r="DI98" i="2" s="1"/>
  <c r="DG99" i="2"/>
  <c r="DG100" i="2"/>
  <c r="DI100" i="2" s="1"/>
  <c r="DG101" i="2"/>
  <c r="DG102" i="2"/>
  <c r="DI102" i="2" s="1"/>
  <c r="DG103" i="2"/>
  <c r="DG104" i="2"/>
  <c r="DI104" i="2" s="1"/>
  <c r="DG105" i="2"/>
  <c r="DG106" i="2"/>
  <c r="DI106" i="2" s="1"/>
  <c r="DG107" i="2"/>
  <c r="DG108" i="2"/>
  <c r="DI108" i="2" s="1"/>
  <c r="DG109" i="2"/>
  <c r="DH110" i="2"/>
  <c r="DG110" i="2"/>
  <c r="DI110" i="2" s="1"/>
  <c r="DG111" i="2"/>
  <c r="DG112" i="2"/>
  <c r="DI112" i="2" s="1"/>
  <c r="DG113" i="2"/>
  <c r="DH114" i="2"/>
  <c r="DG114" i="2"/>
  <c r="DI114" i="2" s="1"/>
  <c r="DG115" i="2"/>
  <c r="DG116" i="2"/>
  <c r="DI116" i="2" s="1"/>
  <c r="DG117" i="2"/>
  <c r="DG118" i="2"/>
  <c r="DI118" i="2" s="1"/>
  <c r="DG119" i="2"/>
  <c r="DH120" i="2"/>
  <c r="DG120" i="2"/>
  <c r="DI120" i="2" s="1"/>
  <c r="DG121" i="2"/>
  <c r="DG122" i="2"/>
  <c r="DI122" i="2" s="1"/>
  <c r="DG123" i="2"/>
  <c r="DI123" i="2" s="1"/>
  <c r="DH125" i="2" l="1"/>
  <c r="DI125" i="2"/>
  <c r="CX125" i="2"/>
  <c r="CY125" i="2"/>
  <c r="CT125" i="2"/>
  <c r="CT55" i="2"/>
  <c r="CX55" i="2"/>
  <c r="CY55" i="2"/>
  <c r="BN125" i="2" l="1"/>
  <c r="AX125" i="2" l="1"/>
  <c r="AY125" i="2"/>
  <c r="AW125" i="2"/>
  <c r="DG124" i="2" l="1"/>
  <c r="D55" i="2" l="1"/>
  <c r="E55" i="2"/>
  <c r="F55" i="2"/>
  <c r="G55" i="2"/>
  <c r="H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J55" i="2"/>
  <c r="BK55" i="2"/>
  <c r="BL55" i="2"/>
  <c r="BM55" i="2"/>
  <c r="BN55" i="2"/>
  <c r="BO55" i="2"/>
  <c r="BP55" i="2"/>
  <c r="BQ55" i="2"/>
  <c r="BR55" i="2"/>
  <c r="BS55" i="2"/>
  <c r="BT55" i="2"/>
  <c r="BU55" i="2"/>
  <c r="BV55" i="2"/>
  <c r="BW55" i="2"/>
  <c r="BX55" i="2"/>
  <c r="BY55" i="2"/>
  <c r="BZ55" i="2"/>
  <c r="CA55" i="2"/>
  <c r="CB55" i="2"/>
  <c r="CC55" i="2"/>
  <c r="CD55" i="2"/>
  <c r="CE55" i="2"/>
  <c r="CF55" i="2"/>
  <c r="CG55" i="2"/>
  <c r="CH55" i="2"/>
  <c r="CI55" i="2"/>
  <c r="CJ55" i="2"/>
  <c r="CK55" i="2"/>
  <c r="CL55" i="2"/>
  <c r="CM55" i="2"/>
  <c r="CN55" i="2"/>
  <c r="CO55" i="2"/>
  <c r="CP55" i="2"/>
  <c r="CQ55" i="2"/>
  <c r="CR55" i="2"/>
  <c r="CS55" i="2"/>
  <c r="CU55" i="2"/>
  <c r="CZ55" i="2"/>
  <c r="DA55" i="2"/>
  <c r="DD55" i="2"/>
  <c r="DE55" i="2"/>
  <c r="CW55" i="2" l="1"/>
  <c r="CV55" i="2"/>
  <c r="DF55" i="2"/>
  <c r="DH55" i="2" s="1"/>
  <c r="DC55" i="2"/>
  <c r="DB55" i="2"/>
  <c r="DG55" i="2"/>
  <c r="DI55" i="2" s="1"/>
  <c r="BV125" i="2" l="1"/>
  <c r="BS125" i="2" l="1"/>
  <c r="C125" i="2"/>
  <c r="D125" i="2"/>
  <c r="E125" i="2"/>
  <c r="F125" i="2"/>
  <c r="G125" i="2"/>
  <c r="H125" i="2"/>
  <c r="I125" i="2"/>
  <c r="J125" i="2"/>
  <c r="K125" i="2"/>
  <c r="L125" i="2"/>
  <c r="M125" i="2"/>
  <c r="N125" i="2"/>
  <c r="O125" i="2"/>
  <c r="P125" i="2"/>
  <c r="Q125" i="2"/>
  <c r="R125" i="2"/>
  <c r="S125" i="2"/>
  <c r="U125" i="2"/>
  <c r="V125" i="2"/>
  <c r="W125" i="2"/>
  <c r="X125" i="2"/>
  <c r="Y125" i="2"/>
  <c r="Z125" i="2"/>
  <c r="AA125" i="2"/>
  <c r="AB125" i="2"/>
  <c r="AC125" i="2"/>
  <c r="AD125" i="2"/>
  <c r="AE125" i="2"/>
  <c r="AF125" i="2"/>
  <c r="AG125" i="2"/>
  <c r="AH125" i="2"/>
  <c r="AI125" i="2"/>
  <c r="AJ125" i="2"/>
  <c r="AK125" i="2"/>
  <c r="AL125" i="2"/>
  <c r="AM125" i="2"/>
  <c r="AN125" i="2"/>
  <c r="AO125" i="2"/>
  <c r="AP125" i="2"/>
  <c r="AQ125" i="2"/>
  <c r="AR125" i="2"/>
  <c r="AS125" i="2"/>
  <c r="AT125" i="2"/>
  <c r="AU125" i="2"/>
  <c r="AZ125" i="2"/>
  <c r="BA125" i="2"/>
  <c r="BB125" i="2"/>
  <c r="BC125" i="2"/>
  <c r="BD125" i="2"/>
  <c r="BE125" i="2"/>
  <c r="BF125" i="2"/>
  <c r="BG125" i="2"/>
  <c r="BH125" i="2"/>
  <c r="BJ125" i="2"/>
  <c r="BK125" i="2"/>
  <c r="BL125" i="2"/>
  <c r="BM125" i="2"/>
  <c r="BO125" i="2"/>
  <c r="BQ125" i="2"/>
  <c r="BR125" i="2"/>
  <c r="BT125" i="2"/>
  <c r="BU125" i="2"/>
  <c r="BW125" i="2"/>
  <c r="BX125" i="2"/>
  <c r="BY125" i="2"/>
  <c r="BZ125" i="2"/>
  <c r="CA125" i="2"/>
  <c r="CC125" i="2"/>
  <c r="CD125" i="2"/>
  <c r="CE125" i="2"/>
  <c r="CF125" i="2"/>
  <c r="CG125" i="2"/>
  <c r="CH125" i="2"/>
  <c r="CI125" i="2"/>
  <c r="CJ125" i="2"/>
  <c r="CK125" i="2"/>
  <c r="CL125" i="2"/>
  <c r="CM125" i="2"/>
  <c r="CN125" i="2"/>
  <c r="CO125" i="2"/>
  <c r="CP125" i="2"/>
  <c r="CQ125" i="2"/>
  <c r="CR125" i="2"/>
  <c r="CS125" i="2"/>
  <c r="CU125" i="2"/>
  <c r="CZ125" i="2"/>
  <c r="DA125" i="2"/>
  <c r="DD125" i="2"/>
  <c r="DE125" i="2"/>
  <c r="D127" i="2"/>
  <c r="F127" i="2"/>
  <c r="H127" i="2"/>
  <c r="J127" i="2"/>
  <c r="L127" i="2"/>
  <c r="N127" i="2"/>
  <c r="P127" i="2"/>
  <c r="DF127" i="2"/>
  <c r="DF129" i="2"/>
  <c r="DH129" i="2" s="1"/>
  <c r="DG129" i="2"/>
  <c r="DI129" i="2" s="1"/>
  <c r="CW125" i="2" l="1"/>
  <c r="CV125" i="2"/>
  <c r="DG125" i="2"/>
  <c r="DC125" i="2"/>
  <c r="DB125" i="2"/>
  <c r="B125" i="2" l="1"/>
  <c r="DF125" i="2" s="1"/>
</calcChain>
</file>

<file path=xl/sharedStrings.xml><?xml version="1.0" encoding="utf-8"?>
<sst xmlns="http://schemas.openxmlformats.org/spreadsheetml/2006/main" count="578" uniqueCount="236">
  <si>
    <t>ОТЧЕТ</t>
  </si>
  <si>
    <t>ИТОГО с сентября 2010 года на отчетную дату</t>
  </si>
  <si>
    <t>шт.</t>
  </si>
  <si>
    <t>тыс. руб.</t>
  </si>
  <si>
    <t>Выдано микрозаймов, ВСЕГО</t>
  </si>
  <si>
    <t>В том числе Инновационным компаниям</t>
  </si>
  <si>
    <t>Рыболовство, рыбоводство</t>
  </si>
  <si>
    <t>Добыча полезных ископаемых</t>
  </si>
  <si>
    <t>Обрабатывающие производства</t>
  </si>
  <si>
    <t>Наука и научные исследования</t>
  </si>
  <si>
    <t>Производство и распределение электроэнергии, газа и воды</t>
  </si>
  <si>
    <t>Строительство</t>
  </si>
  <si>
    <t xml:space="preserve">Оптовая и розничная торговля; ремонт автотранспортных средств, мотоциклов, бытовых изделий и предметов личного пользования </t>
  </si>
  <si>
    <t>Гостиницы и рестораны</t>
  </si>
  <si>
    <t>Транспорт и связь</t>
  </si>
  <si>
    <t>Финансовая деятельность</t>
  </si>
  <si>
    <t>Операции  с недвижимым имуществом, аренда и предоставление услуг</t>
  </si>
  <si>
    <t>Государственное управление и обеспечение военной безопасности; социальное страхование</t>
  </si>
  <si>
    <t>Образование</t>
  </si>
  <si>
    <t>Здравоохранение и предоставление социальных услуг</t>
  </si>
  <si>
    <t>Предоставление прочих коммунальных, социальных и персональных услуг</t>
  </si>
  <si>
    <t>В том числе по районам области:</t>
  </si>
  <si>
    <t xml:space="preserve">Баганский </t>
  </si>
  <si>
    <t>Барабинский</t>
  </si>
  <si>
    <t>Болотнинский</t>
  </si>
  <si>
    <t>Венгеровский</t>
  </si>
  <si>
    <t>Доволенский</t>
  </si>
  <si>
    <t>Здвинский</t>
  </si>
  <si>
    <t>Искитимский</t>
  </si>
  <si>
    <t>Карасукский</t>
  </si>
  <si>
    <t>Каргатский</t>
  </si>
  <si>
    <t>Колыванский</t>
  </si>
  <si>
    <t>Коченевский</t>
  </si>
  <si>
    <t>Кочковский</t>
  </si>
  <si>
    <t>Краснозерский</t>
  </si>
  <si>
    <t>Куйбышевский</t>
  </si>
  <si>
    <t>Купинский</t>
  </si>
  <si>
    <t>Кыштовский</t>
  </si>
  <si>
    <t>Маслянинский</t>
  </si>
  <si>
    <t>Мошковский</t>
  </si>
  <si>
    <t>Новосибирский</t>
  </si>
  <si>
    <t>Ордынский</t>
  </si>
  <si>
    <t>Северный</t>
  </si>
  <si>
    <t>Сузунский</t>
  </si>
  <si>
    <t>Татарский</t>
  </si>
  <si>
    <t>Тогучинский</t>
  </si>
  <si>
    <t>Убинский</t>
  </si>
  <si>
    <t>Чановский</t>
  </si>
  <si>
    <t>Черепановский</t>
  </si>
  <si>
    <t>Чистоозерный</t>
  </si>
  <si>
    <t>Чулымский</t>
  </si>
  <si>
    <t>г. Бердск</t>
  </si>
  <si>
    <t>г. Искитим</t>
  </si>
  <si>
    <t>р. п. Кольцово</t>
  </si>
  <si>
    <t>г. Новосибирск</t>
  </si>
  <si>
    <t>г. Обь</t>
  </si>
  <si>
    <t>Выдано микрозаймов по программе МБР ("Молодежный Бизнес России")</t>
  </si>
  <si>
    <t>ИТОГО с августа 2011 года на отчетную дату</t>
  </si>
  <si>
    <t>№ Комиссии по займам</t>
  </si>
  <si>
    <r>
      <t>В том числе по видам деятельности:</t>
    </r>
    <r>
      <rPr>
        <sz val="12"/>
        <color theme="1"/>
        <rFont val="Times New Roman"/>
        <family val="1"/>
        <charset val="204"/>
      </rPr>
      <t xml:space="preserve"> Сельское хозяйство, охота и лесное хозяйство</t>
    </r>
  </si>
  <si>
    <t>ИТОГО:</t>
  </si>
  <si>
    <t>ИТОГО с начала года</t>
  </si>
  <si>
    <t>% отношение к прошлому году</t>
  </si>
  <si>
    <t>В том числе займы  ≤ 1 млн. руб.</t>
  </si>
  <si>
    <t>В том числе займы больше 1 до 3-х млн. руб.</t>
  </si>
  <si>
    <t>Усть-Таркский</t>
  </si>
  <si>
    <t>В том числе под поручительство Фондa развития малого и среднего предпринимательства
Новосибирской области</t>
  </si>
  <si>
    <t>В том числе займы больше 3 до 5-ти млн. руб.</t>
  </si>
  <si>
    <t>На 31.07.2019</t>
  </si>
  <si>
    <t>На 31.08.2019</t>
  </si>
  <si>
    <t>На 30.09.2019</t>
  </si>
  <si>
    <t>На 31.10.2019</t>
  </si>
  <si>
    <t>На 30.11.2019</t>
  </si>
  <si>
    <t>На 31.12.2018</t>
  </si>
  <si>
    <t>На 22.12.2019</t>
  </si>
  <si>
    <t>Выдано в 2020 г.</t>
  </si>
  <si>
    <t>За отчетный период с 09.01.2020 по 17.01.2020</t>
  </si>
  <si>
    <t>На 17.01.2020</t>
  </si>
  <si>
    <t>На 31.01.2019</t>
  </si>
  <si>
    <t>На 24.01.2020</t>
  </si>
  <si>
    <t>За отчетный период с 18.01.2020 по 24.01.2020</t>
  </si>
  <si>
    <t>На 31.01.2020</t>
  </si>
  <si>
    <t>За отчетный период с 25.01.2020 по 31.01.2022</t>
  </si>
  <si>
    <t>План</t>
  </si>
  <si>
    <t>% к Плану</t>
  </si>
  <si>
    <t>На 28.02.2019</t>
  </si>
  <si>
    <t>На 07.02.2020</t>
  </si>
  <si>
    <t>За отчетный период с 01.02.2020 по 07.02.2020</t>
  </si>
  <si>
    <t>В том числе в рамках помощи погорельцам Искитима</t>
  </si>
  <si>
    <t>На 14.02.2020</t>
  </si>
  <si>
    <t>За отчетный период с 09.02.2020 по 14.02.2020</t>
  </si>
  <si>
    <t>За отчетный период с 15.02.2020 по 21.02.2020</t>
  </si>
  <si>
    <t>На 21.02.2020</t>
  </si>
  <si>
    <t>На 29.02.2020</t>
  </si>
  <si>
    <t>За отчетный период с 22.02.2020 по 29.02.2020</t>
  </si>
  <si>
    <t>На 31.03.2019</t>
  </si>
  <si>
    <t>На 06.03.2020</t>
  </si>
  <si>
    <t>За отчетный период с 01.03.2020 по 06.03.2020</t>
  </si>
  <si>
    <t>За отчетный период с 07.03.2020 по 13.03.2020</t>
  </si>
  <si>
    <t>На 13.03.2020</t>
  </si>
  <si>
    <t>За отчетный период с 14.03.2020 по 20.03.2020</t>
  </si>
  <si>
    <t>На 20.03.2020</t>
  </si>
  <si>
    <t>В том числе зарегистрированному  &lt; 1 года</t>
  </si>
  <si>
    <t>В том числе без залога</t>
  </si>
  <si>
    <t>За отчетный период с 21.03.2020 по 31.03.2020</t>
  </si>
  <si>
    <t>На 31.03.2020</t>
  </si>
  <si>
    <t>За отчетный период с 01.04.2020 по 10.04.2020</t>
  </si>
  <si>
    <t>На 30.04.2019</t>
  </si>
  <si>
    <t>На 10.04.2020</t>
  </si>
  <si>
    <t>5000 ИП ИП ГКФХ Турков</t>
  </si>
  <si>
    <t>900 ПО Пишевик, Каргатское горпо 1000</t>
  </si>
  <si>
    <t>На 17.04.2020</t>
  </si>
  <si>
    <t>За отчетный период с 11.04.020 по 17.04.2020</t>
  </si>
  <si>
    <t>За отчетный период с 18.04.020 по 24.04.2020</t>
  </si>
  <si>
    <t>На 24.04.2020</t>
  </si>
  <si>
    <t>Всего с 27.03.2020</t>
  </si>
  <si>
    <t>Рассмотрено обращений (штук)</t>
  </si>
  <si>
    <t>в том числе кредитные каникулы</t>
  </si>
  <si>
    <t xml:space="preserve">в том числе реструктуризация </t>
  </si>
  <si>
    <t>Поступило обращений (штук)</t>
  </si>
  <si>
    <t>ФТ Транс ООО 2000</t>
  </si>
  <si>
    <t>На 30.04.2020</t>
  </si>
  <si>
    <t>За отчетный период с 25.04.2020 по 30.04.2020</t>
  </si>
  <si>
    <t>За отчетный период с 01.05.2020 по 08.05.2020</t>
  </si>
  <si>
    <t>На 31.05.2019</t>
  </si>
  <si>
    <t>На 08.05.2020</t>
  </si>
  <si>
    <t>За отчетный период с 09.05.2020 по 15.05.2020</t>
  </si>
  <si>
    <t>На 15.05.2020</t>
  </si>
  <si>
    <t>ССО Чановская 2000, ИП Ольбрант ИА 1000, КХ Сарыбалыкское 1000</t>
  </si>
  <si>
    <t>За отчетный период с 16.05.2020 по 22.05.2020</t>
  </si>
  <si>
    <t>На 22.05.2020</t>
  </si>
  <si>
    <t>Обращения субъектов МСП на изменение графиков гашения микрозаймов в связи с пандемией COVID 19 (п.2.7.)</t>
  </si>
  <si>
    <t>Увеличение максимально возможной суммы микрозайма на цели пополнение оборотных средств (с 200 тыс. рублей на 1 работающего при численности более 3-х человек до 300 тыс. рублей) (п. 2.8.)</t>
  </si>
  <si>
    <t xml:space="preserve">Увеличение максимальной суммы микрозайма без залога (со 100 тыс. рублей до 200-300 тыс. руб. для наиболее пострадавших отраслей ) (п. 2.9.) </t>
  </si>
  <si>
    <t>На 31.05.2020</t>
  </si>
  <si>
    <t>За отчетный период с 23.05.2020 по 31.05.2020</t>
  </si>
  <si>
    <t>За отчетный период с 01.06.2020 по 05.06.2020</t>
  </si>
  <si>
    <t>На 30.06.2019</t>
  </si>
  <si>
    <t>На 05.06.2020</t>
  </si>
  <si>
    <t>На 11.06.2020</t>
  </si>
  <si>
    <t>За отчетный период с 06.06.2020 по 11.06.2020</t>
  </si>
  <si>
    <t>1500 ИП Сергиенко В.А. 350 ИП ГКФХ Олейников</t>
  </si>
  <si>
    <t>На 19.06.2020</t>
  </si>
  <si>
    <t>За отчетный период с 12.06.2020 по 19.06.2020</t>
  </si>
  <si>
    <t>3000 ИП ГКФХ Якубенко, 450 Округ, 300 Автотехсервис</t>
  </si>
  <si>
    <t>На 26.06.2020</t>
  </si>
  <si>
    <t>За отчетный период с 20.06.2020 по 26.06.2020</t>
  </si>
  <si>
    <t>За отчетный период с 01.07.2020 по 03.07.2020</t>
  </si>
  <si>
    <t>На 03.07.2020</t>
  </si>
  <si>
    <t>На 10.07.2020</t>
  </si>
  <si>
    <t>За отчетный период с 04.07.2020 по 10.07.2020</t>
  </si>
  <si>
    <t>700 Компания Русский Двор, 5000 Коченевская Автобаза</t>
  </si>
  <si>
    <t>На 17.07.2020</t>
  </si>
  <si>
    <t>За отчетный период с 11.07.2020 по 17.07.2020</t>
  </si>
  <si>
    <t>На 24.07.2020</t>
  </si>
  <si>
    <t>За отчетный период с 18.07.2020 по 24.07.2020</t>
  </si>
  <si>
    <t>2500 ИП Шалабаева Е.А., 2000 ПСХК Зыково</t>
  </si>
  <si>
    <t>На 31.07.2020</t>
  </si>
  <si>
    <t>За отчетный период с 25.07.2020 по 31.07.2020</t>
  </si>
  <si>
    <t>1000 ИП Байрамов, 300 ИП ГКФХ Потылицин, 1200 ГКФХ Дмитренко ВВ, 200 ИП Чернова ОА, 700 ИП Абашина АА</t>
  </si>
  <si>
    <t>На 07.08.2020</t>
  </si>
  <si>
    <t>За отчетный период с 01.08.2020 по 07.08.2020</t>
  </si>
  <si>
    <t>Река Жизни 1500, ТЕХНОСИБ ООО 4000</t>
  </si>
  <si>
    <t>За отчетный период с 08.08.2020 по14.08.2020</t>
  </si>
  <si>
    <t>На 14.08.2020</t>
  </si>
  <si>
    <t>За отчетный период с 15.08.2020 по21.08.2020</t>
  </si>
  <si>
    <t>На 21.08.2020</t>
  </si>
  <si>
    <t>На 31.08.2020</t>
  </si>
  <si>
    <t>За отчетный период с 22.08.2020 по31.08.2020</t>
  </si>
  <si>
    <t>На 04.09.2020</t>
  </si>
  <si>
    <t>За отчетный период с 01.09.2020 по 04.09.2020</t>
  </si>
  <si>
    <t>ИП Дзауров 3800, МиР 3500, ИП Ишимов 500, КХ Невский 500, ИП Бочкарева 4000, ИП Большакова 500, ИП Костоев 4000, ИП Поляничко 3500, ИП Красько 1100, Дуэт 700, ТрансСиб МК 1000</t>
  </si>
  <si>
    <t>За отчетный период с 05.09.2020 по 11.09.2020</t>
  </si>
  <si>
    <t>350 ИП ГКФХ Тарасова, 3500 Елена ООО, 2500 ООО Диадема</t>
  </si>
  <si>
    <t>На 18.09.2020</t>
  </si>
  <si>
    <t>За отчетный период с 12.09.2020 по 18.09.2021</t>
  </si>
  <si>
    <t>На 11.09.2020</t>
  </si>
  <si>
    <t>На 25.09.2020</t>
  </si>
  <si>
    <t>2000 ИП ГКФХ Ридель РБ, ИП Зубков 300</t>
  </si>
  <si>
    <t>На 02.10.2020</t>
  </si>
  <si>
    <t>За отчетный период с 19.09.2020 по 25.09.2020</t>
  </si>
  <si>
    <t>За отчетный период с 01.10.2020 по 02.10.2020</t>
  </si>
  <si>
    <t>ССБ ООО 3390, ИП Тернова 170</t>
  </si>
  <si>
    <t>На 09.10.2020</t>
  </si>
  <si>
    <t>За отчетный период с 03.10.2020 по 09.10.2020</t>
  </si>
  <si>
    <t>За отчетный период с 10.10.2020 по 16.10.2020</t>
  </si>
  <si>
    <t>На 16.10.2020</t>
  </si>
  <si>
    <t>На 23.10.2020</t>
  </si>
  <si>
    <t>За отчетный период с 17.10.2020 по 23.10.2020</t>
  </si>
  <si>
    <t>Н-Сиб Сервис 800, Автострой 900, УК Экосистемы 2060</t>
  </si>
  <si>
    <t>ИП Исаев А.Г 2000, Сибирское Сельпо 2000, ИП Пилипенко В.А. 4500</t>
  </si>
  <si>
    <t>Исполнительнительный директор        ______________________          Н.Н. Симонов</t>
  </si>
  <si>
    <t>За отчетный период с 24.10.2020 по 31.10.2020</t>
  </si>
  <si>
    <t>1500 ИП Милюхин,1000 ИП ГКФХ Герций, 1000 ИП Яровенко, 500 ИП ГКФХ Демчук ИП, 200 ИП Дубовик</t>
  </si>
  <si>
    <t>На 31.10.2020</t>
  </si>
  <si>
    <t>На 06.11.2020</t>
  </si>
  <si>
    <t>ПМК Карасукская 2000, ИП Сафонов 800, КПО Торговля, КПО Рынок 500, ИП Масловец 200</t>
  </si>
  <si>
    <t>За отчетный период с 07.11.2020 по 13.11.2020</t>
  </si>
  <si>
    <t>За отчетный период с 01.11.2020 по 06.11.2020</t>
  </si>
  <si>
    <t>На 13.11.2020</t>
  </si>
  <si>
    <t>На 20.11.2020</t>
  </si>
  <si>
    <t>За отчетный период с 14.11.2020 по 20.11.2020</t>
  </si>
  <si>
    <t>1800 ИП ГКФХ Федоров А.Н., 2030 ПРОМТОРГ, 1300 ПК Общепит, 400 ИП Белоусов, 4770 ИП Бирклен, 5000 КФХ Водолей, 300 ИП Шелудько, 2900 Абсолют-Л</t>
  </si>
  <si>
    <t>3000 ИП Турчук, 1700 ИП Дягилев, 1000 Ивушка, 900 ИП Степанов С.В.</t>
  </si>
  <si>
    <t>За отчетный период с 21.11.2020 по 27.11.2020</t>
  </si>
  <si>
    <t>На 27.11.2020</t>
  </si>
  <si>
    <t>3500 ИП Беспалько, 2000 ООО «АГРО», Сузунское РТП 1500, ИП ГКФХ Багдасарян 5000, ИП Пронькин 2500</t>
  </si>
  <si>
    <t>Технологии полезного питания 3000, ЭталонТрейд 500</t>
  </si>
  <si>
    <t>2100 ИП Мерзлякова, 895 ИП Миноченко, 900 СПЕКТР СМ, 2000 ИП Савин А.А.</t>
  </si>
  <si>
    <t>На 31.12.2019</t>
  </si>
  <si>
    <t>На 04.12.2020</t>
  </si>
  <si>
    <t>За отчетный период с 01.12.2020 по 04.12.2020</t>
  </si>
  <si>
    <t>Декабрь</t>
  </si>
  <si>
    <t>700 ИП Морозова, 300 ИП Морозова, 5000 Сервис, 1000 ИП ГКФХ Рак ВК, 4000 ИП Кунакин ОВ, 400 ИП Зубарев И.Н.</t>
  </si>
  <si>
    <t>На 11.12.2020</t>
  </si>
  <si>
    <t>За отчетный период с 05.12.2020 по 11.12.2020</t>
  </si>
  <si>
    <t>ДСУ-2 4322, Барабинская типография 3000, ИП ГКФХ Витковский 1500, ИСИДА-2 4750, СтроиДорСиб 1000, СпецСтройСонтаж 1500, ИП Кулешов 5000, ДСУ-2 900,ИП ГКФХ Конев 2000, Система Сервис IV 3000, ИП Латыпов</t>
  </si>
  <si>
    <t>700 Тактика, 3000 Нива, 200 ГКФХ Денисенко, 200 ИП ГКФХ Мызников В.В, 4000 Оратай, 1000 Спец Маш, 1200 ИП Руденко, 1100 ИП Латыпов</t>
  </si>
  <si>
    <t>5000 Кудрино, 175 ИП ГКФХ Матвеев, 3500 СибКолос</t>
  </si>
  <si>
    <r>
      <t xml:space="preserve"> </t>
    </r>
    <r>
      <rPr>
        <sz val="12"/>
        <color rgb="FFFF0000"/>
        <rFont val="Times New Roman"/>
        <family val="1"/>
        <charset val="204"/>
      </rPr>
      <t>2000 ЗСК в р.п. Линёво</t>
    </r>
    <r>
      <rPr>
        <sz val="12"/>
        <color theme="1"/>
        <rFont val="Times New Roman"/>
        <family val="1"/>
        <charset val="204"/>
      </rPr>
      <t xml:space="preserve">, 5000 ИП ГКФХ Ковалев, </t>
    </r>
    <r>
      <rPr>
        <sz val="12"/>
        <color rgb="FFFF0000"/>
        <rFont val="Times New Roman"/>
        <family val="1"/>
        <charset val="204"/>
      </rPr>
      <t>2000 Жилсервис в р.п. Линёво</t>
    </r>
    <r>
      <rPr>
        <sz val="12"/>
        <color theme="1"/>
        <rFont val="Times New Roman"/>
        <family val="1"/>
        <charset val="204"/>
      </rPr>
      <t>,</t>
    </r>
    <r>
      <rPr>
        <sz val="12"/>
        <color rgb="FFFF0000"/>
        <rFont val="Times New Roman"/>
        <family val="1"/>
        <charset val="204"/>
      </rPr>
      <t>1236  Квартал+ р.п. Линево,</t>
    </r>
    <r>
      <rPr>
        <sz val="12"/>
        <color theme="1"/>
        <rFont val="Times New Roman"/>
        <family val="1"/>
        <charset val="204"/>
      </rPr>
      <t xml:space="preserve"> </t>
    </r>
    <r>
      <rPr>
        <sz val="12"/>
        <color rgb="FFFF0000"/>
        <rFont val="Times New Roman"/>
        <family val="1"/>
        <charset val="204"/>
      </rPr>
      <t>764 Квартал+ р.п. Линево</t>
    </r>
    <r>
      <rPr>
        <sz val="12"/>
        <color theme="1"/>
        <rFont val="Times New Roman"/>
        <family val="1"/>
        <charset val="204"/>
      </rPr>
      <t xml:space="preserve">, </t>
    </r>
    <r>
      <rPr>
        <sz val="12"/>
        <color rgb="FFFF0000"/>
        <rFont val="Times New Roman"/>
        <family val="1"/>
        <charset val="204"/>
      </rPr>
      <t xml:space="preserve">2610 ЗСК (Линево), 490 Квартал+ р.п. Линево </t>
    </r>
  </si>
  <si>
    <t>Колхоз им. Мичурина 1300, ООО Степное 1000, Колхоз им. Мичурина 1500, ТПК Чистоозерный 1000, Табулгинское сельпо 3000, ПОСПО КООППРОМТОРГ 300, ПОСПО КООПОПТСБЫТ 300, ИП Гураль 200, АО Прибрежное 2000</t>
  </si>
  <si>
    <t>В том числе по льготной ставке ЦБ РФ-0,25%</t>
  </si>
  <si>
    <t>Антикризис 2 транш 2020года займы до 2-х лет</t>
  </si>
  <si>
    <t>На 20.12.2020</t>
  </si>
  <si>
    <t>За отчетный период с 12.12.2020 по 20.12.2020</t>
  </si>
  <si>
    <t>м.п.</t>
  </si>
  <si>
    <t>За отчетный период с 19.12.2020 по 25.12.2020</t>
  </si>
  <si>
    <t>На 25.12.2020</t>
  </si>
  <si>
    <t>2200 ИП Ковалева, 300 ИП Ковалева, 2450 БСК ООО, 2000 Скоровар ООО, 1000 АПК ООО, 5000 Мясковъ, 1555 МеконгТехСтрой, 1500 ИП Курсаков, 2200 Медиахолдинг ТВК, 300 Компания Микронет, 200 Сибэнерготрейд, 1500 АПК, ИП Шалаев В.В., 400 Техно-Матрикс, 500 Фирма Мэтр, 2500 Техноклининг, 3000 ФИТОПРОМ</t>
  </si>
  <si>
    <t>ИП Яровая (после пожара )100, Империя Снеков 2500, СИБИН 400, Мебельплюс 300, Кербер и К 1500</t>
  </si>
  <si>
    <t>3500 Партнер-Вет НСК ООО, 400 Нов-Ист, 1400 ИП Ким, 5000 ИП Буковская, 1500 Авторесурс, 1500 ТехТрансСиб, 2600 ИП Бах Л.Ф, 200 ИП Клюкина ОС, 500 Арктур, 900 Парк-Отель-Боровое, 2000 Регион Ресурс, 1200 ИП Бурдинский, 4000 ТехногазСервис, 1000 Зелёная Улица, 900 Рыбка, 900 Усадьба, 1000 ЛДК-Инвест</t>
  </si>
  <si>
    <t>о работе МКК Фонд микрофинансирования НСО на 31.12.2020</t>
  </si>
  <si>
    <t>Количество действующих займов на 31.12.2020</t>
  </si>
  <si>
    <t>Количество закрытых займов на 31.12.2020</t>
  </si>
  <si>
    <t>За отчетный период с 01.12.2020 по 31.12.2020</t>
  </si>
  <si>
    <t>На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</si>
</sst>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_-;\-* #,##0\ _₽_-;_-* &quot;-&quot;\ _₽_-;_-@_-"/>
    <numFmt numFmtId="165" formatCode="_-* #,##0.00\ _₽_-;\-* #,##0.00\ _₽_-;_-* &quot;-&quot;??\ _₽_-;_-@_-"/>
    <numFmt numFmtId="166" formatCode="#,##0\ _₽"/>
    <numFmt numFmtId="167" formatCode="#,##0.00_ ;\-#,##0.00\ "/>
  </numFmts>
  <fonts count="17" x14ac:knownFonts="1">
    <font>
      <sz val="11"/>
      <color theme="1"/>
      <name val="Calibri"/>
      <family val="2"/>
      <scheme val="minor"/>
    </font>
    <font>
      <sz val="12"/>
      <color theme="1"/>
      <name val="Times New Roman"/>
      <family val="1"/>
      <charset val="204"/>
    </font>
    <font>
      <sz val="12"/>
      <color theme="1"/>
      <name val="Calibri"/>
      <family val="2"/>
      <scheme val="minor"/>
    </font>
    <font>
      <b/>
      <sz val="12"/>
      <color theme="1"/>
      <name val="Times New Roman"/>
      <family val="1"/>
      <charset val="204"/>
    </font>
    <font>
      <sz val="14"/>
      <color theme="1"/>
      <name val="Times New Roman"/>
      <family val="1"/>
      <charset val="204"/>
    </font>
    <font>
      <b/>
      <sz val="12"/>
      <name val="Times New Roman"/>
      <family val="1"/>
      <charset val="204"/>
    </font>
    <font>
      <sz val="12"/>
      <name val="Times New Roman"/>
      <family val="1"/>
      <charset val="204"/>
    </font>
    <font>
      <b/>
      <sz val="12"/>
      <color rgb="FFFF0000"/>
      <name val="Times New Roman"/>
      <family val="1"/>
      <charset val="204"/>
    </font>
    <font>
      <sz val="14"/>
      <name val="Times New Roman"/>
      <family val="1"/>
      <charset val="204"/>
    </font>
    <font>
      <sz val="12"/>
      <color rgb="FFFF0000"/>
      <name val="Times New Roman"/>
      <family val="1"/>
      <charset val="204"/>
    </font>
    <font>
      <sz val="12"/>
      <name val="Calibri"/>
      <family val="2"/>
      <scheme val="minor"/>
    </font>
    <font>
      <sz val="12"/>
      <color rgb="FFFF0000"/>
      <name val="Calibri"/>
      <family val="2"/>
      <scheme val="minor"/>
    </font>
    <font>
      <b/>
      <sz val="14"/>
      <color theme="1"/>
      <name val="Times New Roman"/>
      <family val="1"/>
      <charset val="204"/>
    </font>
    <font>
      <b/>
      <sz val="14"/>
      <name val="Times New Roman"/>
      <family val="1"/>
      <charset val="204"/>
    </font>
    <font>
      <sz val="11"/>
      <color theme="1"/>
      <name val="Calibri"/>
      <family val="2"/>
      <scheme val="minor"/>
    </font>
    <font>
      <b/>
      <sz val="11"/>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9" fontId="14" fillId="0" borderId="0" applyFont="0" applyFill="0" applyBorder="0" applyAlignment="0" applyProtection="0"/>
    <xf numFmtId="165" fontId="14" fillId="0" borderId="0" applyFont="0" applyFill="0" applyBorder="0" applyAlignment="0" applyProtection="0"/>
  </cellStyleXfs>
  <cellXfs count="422">
    <xf numFmtId="0" fontId="0" fillId="0" borderId="0" xfId="0"/>
    <xf numFmtId="0" fontId="2" fillId="0" borderId="0" xfId="0" applyFont="1"/>
    <xf numFmtId="14" fontId="1" fillId="0" borderId="0" xfId="0" applyNumberFormat="1" applyFont="1"/>
    <xf numFmtId="4" fontId="2" fillId="0" borderId="0" xfId="0" applyNumberFormat="1" applyFont="1"/>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applyFont="1" applyBorder="1" applyAlignment="1">
      <alignment horizontal="right" vertical="center"/>
    </xf>
    <xf numFmtId="4" fontId="1" fillId="0" borderId="1" xfId="0" applyNumberFormat="1" applyFont="1" applyBorder="1" applyAlignment="1">
      <alignment horizontal="right" vertical="center"/>
    </xf>
    <xf numFmtId="0" fontId="1" fillId="0" borderId="1" xfId="0" applyFont="1" applyBorder="1"/>
    <xf numFmtId="0" fontId="3" fillId="0" borderId="1" xfId="0" applyFont="1" applyBorder="1" applyAlignment="1">
      <alignment horizontal="justify" vertical="center"/>
    </xf>
    <xf numFmtId="4" fontId="3" fillId="0" borderId="1" xfId="0" applyNumberFormat="1" applyFont="1" applyBorder="1" applyAlignment="1">
      <alignment horizontal="justify" vertical="center"/>
    </xf>
    <xf numFmtId="4" fontId="3" fillId="0" borderId="1" xfId="0" applyNumberFormat="1" applyFont="1" applyBorder="1" applyAlignment="1">
      <alignment horizontal="center" vertical="center"/>
    </xf>
    <xf numFmtId="0" fontId="3" fillId="0" borderId="1" xfId="0" applyFont="1" applyBorder="1" applyAlignment="1">
      <alignment vertical="center"/>
    </xf>
    <xf numFmtId="4" fontId="3" fillId="0" borderId="1" xfId="0" applyNumberFormat="1" applyFont="1" applyBorder="1" applyAlignment="1">
      <alignment vertical="center"/>
    </xf>
    <xf numFmtId="0" fontId="3" fillId="0" borderId="1" xfId="0" applyFont="1" applyBorder="1" applyAlignment="1">
      <alignment horizontal="right" vertical="center"/>
    </xf>
    <xf numFmtId="4" fontId="3" fillId="0" borderId="1" xfId="0" applyNumberFormat="1" applyFont="1" applyBorder="1" applyAlignment="1">
      <alignment horizontal="right" vertical="center"/>
    </xf>
    <xf numFmtId="4" fontId="3" fillId="0" borderId="1" xfId="0" applyNumberFormat="1" applyFont="1" applyBorder="1" applyAlignment="1">
      <alignment vertical="center" wrapText="1"/>
    </xf>
    <xf numFmtId="4" fontId="1" fillId="0" borderId="1" xfId="0" applyNumberFormat="1" applyFont="1" applyBorder="1" applyAlignment="1">
      <alignment horizontal="center" vertical="center"/>
    </xf>
    <xf numFmtId="4" fontId="1" fillId="0" borderId="1" xfId="0" applyNumberFormat="1" applyFont="1" applyBorder="1" applyAlignment="1">
      <alignment horizontal="right" vertical="center" wrapText="1"/>
    </xf>
    <xf numFmtId="4" fontId="3" fillId="0" borderId="1" xfId="0" applyNumberFormat="1" applyFont="1" applyBorder="1" applyAlignment="1">
      <alignment horizontal="justify" vertical="center" wrapText="1"/>
    </xf>
    <xf numFmtId="4" fontId="1" fillId="0" borderId="1" xfId="0" applyNumberFormat="1" applyFont="1" applyBorder="1"/>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3" fillId="0" borderId="1" xfId="0" applyFont="1" applyFill="1" applyBorder="1" applyAlignment="1">
      <alignment horizontal="right" vertical="center"/>
    </xf>
    <xf numFmtId="4" fontId="3" fillId="0" borderId="1" xfId="0" applyNumberFormat="1" applyFont="1" applyFill="1" applyBorder="1" applyAlignment="1">
      <alignment horizontal="righ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0" xfId="0" applyNumberFormat="1" applyFont="1"/>
    <xf numFmtId="3" fontId="1"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1" fontId="3" fillId="0" borderId="1" xfId="0" applyNumberFormat="1" applyFont="1" applyBorder="1" applyAlignment="1">
      <alignment horizontal="center" vertical="center"/>
    </xf>
    <xf numFmtId="1" fontId="3" fillId="0" borderId="1" xfId="0" applyNumberFormat="1" applyFont="1" applyBorder="1" applyAlignment="1">
      <alignment horizontal="right" vertical="center"/>
    </xf>
    <xf numFmtId="1" fontId="2" fillId="0" borderId="0" xfId="0" applyNumberFormat="1" applyFont="1"/>
    <xf numFmtId="1" fontId="1" fillId="0" borderId="1" xfId="0" applyNumberFormat="1" applyFont="1" applyBorder="1" applyAlignment="1">
      <alignment horizontal="center" vertical="center"/>
    </xf>
    <xf numFmtId="166" fontId="3" fillId="0" borderId="1" xfId="0" applyNumberFormat="1" applyFont="1" applyBorder="1" applyAlignment="1">
      <alignment vertical="center"/>
    </xf>
    <xf numFmtId="166" fontId="3" fillId="0" borderId="1" xfId="0" applyNumberFormat="1" applyFont="1" applyFill="1" applyBorder="1" applyAlignment="1">
      <alignment vertical="center" wrapText="1"/>
    </xf>
    <xf numFmtId="166" fontId="3" fillId="0" borderId="1" xfId="0" applyNumberFormat="1" applyFont="1" applyBorder="1" applyAlignment="1">
      <alignment vertical="center" wrapText="1"/>
    </xf>
    <xf numFmtId="166" fontId="1" fillId="0" borderId="1" xfId="0" applyNumberFormat="1" applyFont="1" applyBorder="1" applyAlignment="1">
      <alignment vertical="center" wrapText="1"/>
    </xf>
    <xf numFmtId="166" fontId="2" fillId="0" borderId="0" xfId="0" applyNumberFormat="1" applyFont="1"/>
    <xf numFmtId="166" fontId="3" fillId="0" borderId="1" xfId="0" applyNumberFormat="1" applyFont="1" applyBorder="1" applyAlignment="1">
      <alignment horizontal="justify" vertical="center" wrapText="1"/>
    </xf>
    <xf numFmtId="1" fontId="3" fillId="0" borderId="1" xfId="0" applyNumberFormat="1" applyFont="1" applyBorder="1" applyAlignment="1">
      <alignment horizontal="justify" vertical="center"/>
    </xf>
    <xf numFmtId="1" fontId="3" fillId="0" borderId="1" xfId="0" applyNumberFormat="1" applyFont="1" applyBorder="1" applyAlignment="1">
      <alignment vertical="center"/>
    </xf>
    <xf numFmtId="1" fontId="3" fillId="0" borderId="1" xfId="0" applyNumberFormat="1" applyFont="1" applyFill="1" applyBorder="1" applyAlignment="1">
      <alignment vertical="center" wrapText="1"/>
    </xf>
    <xf numFmtId="1" fontId="3" fillId="0" borderId="1" xfId="0" applyNumberFormat="1" applyFont="1" applyBorder="1" applyAlignment="1">
      <alignment vertical="center" wrapText="1"/>
    </xf>
    <xf numFmtId="1" fontId="1" fillId="0" borderId="1" xfId="0" applyNumberFormat="1" applyFont="1" applyBorder="1" applyAlignment="1">
      <alignment vertical="center" wrapText="1"/>
    </xf>
    <xf numFmtId="1" fontId="1" fillId="0" borderId="1" xfId="0" applyNumberFormat="1" applyFont="1" applyBorder="1"/>
    <xf numFmtId="1" fontId="3" fillId="0" borderId="1" xfId="0" applyNumberFormat="1" applyFont="1" applyBorder="1" applyAlignment="1">
      <alignment horizontal="justify" vertical="center" wrapText="1"/>
    </xf>
    <xf numFmtId="1" fontId="1" fillId="0" borderId="1" xfId="0" applyNumberFormat="1" applyFont="1" applyBorder="1" applyAlignment="1">
      <alignment horizontal="right" vertical="center"/>
    </xf>
    <xf numFmtId="3" fontId="3" fillId="0" borderId="1" xfId="0" applyNumberFormat="1" applyFont="1" applyBorder="1" applyAlignment="1">
      <alignment vertical="center" wrapText="1"/>
    </xf>
    <xf numFmtId="1" fontId="3" fillId="0" borderId="1" xfId="0" applyNumberFormat="1" applyFont="1" applyBorder="1"/>
    <xf numFmtId="4" fontId="3" fillId="0" borderId="1" xfId="0" applyNumberFormat="1" applyFont="1" applyBorder="1"/>
    <xf numFmtId="3" fontId="5" fillId="0" borderId="1" xfId="0" applyNumberFormat="1" applyFont="1" applyBorder="1"/>
    <xf numFmtId="4" fontId="5" fillId="0" borderId="1" xfId="0" applyNumberFormat="1" applyFont="1" applyBorder="1"/>
    <xf numFmtId="3" fontId="5"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 fontId="4" fillId="0" borderId="0" xfId="0" applyNumberFormat="1" applyFont="1" applyAlignment="1">
      <alignment horizontal="center" vertical="center"/>
    </xf>
    <xf numFmtId="1" fontId="6" fillId="0" borderId="1" xfId="0" applyNumberFormat="1" applyFont="1" applyBorder="1" applyAlignment="1">
      <alignment vertical="center" wrapText="1"/>
    </xf>
    <xf numFmtId="4" fontId="6" fillId="0" borderId="1" xfId="0" applyNumberFormat="1" applyFont="1" applyBorder="1" applyAlignment="1">
      <alignment vertical="center" wrapText="1"/>
    </xf>
    <xf numFmtId="164" fontId="3" fillId="0" borderId="1" xfId="0" applyNumberFormat="1" applyFont="1" applyBorder="1" applyAlignment="1">
      <alignment vertical="center"/>
    </xf>
    <xf numFmtId="164" fontId="3" fillId="0" borderId="1" xfId="0" applyNumberFormat="1" applyFont="1" applyFill="1" applyBorder="1" applyAlignment="1">
      <alignment vertical="center" wrapText="1"/>
    </xf>
    <xf numFmtId="164" fontId="3" fillId="0" borderId="1" xfId="0" applyNumberFormat="1" applyFont="1" applyBorder="1" applyAlignment="1">
      <alignment vertical="center" wrapText="1"/>
    </xf>
    <xf numFmtId="164" fontId="1" fillId="0" borderId="1" xfId="0" applyNumberFormat="1" applyFont="1" applyBorder="1" applyAlignment="1">
      <alignment vertical="center" wrapText="1"/>
    </xf>
    <xf numFmtId="164" fontId="3" fillId="0" borderId="1" xfId="0" applyNumberFormat="1" applyFont="1" applyBorder="1"/>
    <xf numFmtId="164" fontId="2" fillId="0" borderId="0" xfId="0" applyNumberFormat="1" applyFont="1"/>
    <xf numFmtId="164" fontId="3" fillId="0" borderId="1" xfId="0" applyNumberFormat="1" applyFont="1" applyBorder="1" applyAlignment="1">
      <alignment horizontal="justify" vertical="center" wrapText="1"/>
    </xf>
    <xf numFmtId="166" fontId="3" fillId="0" borderId="1" xfId="0" applyNumberFormat="1" applyFont="1" applyBorder="1" applyAlignment="1">
      <alignment horizontal="center" vertical="center"/>
    </xf>
    <xf numFmtId="166" fontId="3" fillId="0" borderId="1" xfId="0" applyNumberFormat="1" applyFont="1" applyBorder="1"/>
    <xf numFmtId="3" fontId="3" fillId="0" borderId="1" xfId="0" applyNumberFormat="1" applyFont="1" applyBorder="1" applyAlignment="1">
      <alignment horizontal="justify" vertical="center"/>
    </xf>
    <xf numFmtId="3" fontId="3" fillId="0" borderId="1" xfId="0" applyNumberFormat="1" applyFont="1" applyBorder="1" applyAlignment="1">
      <alignment vertical="center"/>
    </xf>
    <xf numFmtId="3" fontId="3" fillId="0" borderId="1" xfId="0" applyNumberFormat="1" applyFont="1" applyFill="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xf numFmtId="3" fontId="3" fillId="0" borderId="1" xfId="0" applyNumberFormat="1" applyFont="1" applyBorder="1" applyAlignment="1">
      <alignment horizontal="justify" vertical="center" wrapText="1"/>
    </xf>
    <xf numFmtId="3" fontId="6" fillId="2" borderId="1" xfId="0" applyNumberFormat="1" applyFont="1" applyFill="1" applyBorder="1" applyAlignment="1">
      <alignment vertical="center" wrapText="1"/>
    </xf>
    <xf numFmtId="4" fontId="6" fillId="2" borderId="1" xfId="0" applyNumberFormat="1" applyFont="1" applyFill="1" applyBorder="1" applyAlignment="1">
      <alignment vertical="center" wrapText="1"/>
    </xf>
    <xf numFmtId="164" fontId="3"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1" fillId="0" borderId="1" xfId="0" applyFont="1" applyBorder="1" applyAlignment="1">
      <alignment horizontal="center" vertical="center"/>
    </xf>
    <xf numFmtId="0" fontId="4" fillId="0" borderId="0" xfId="0" applyFont="1" applyAlignment="1">
      <alignment horizontal="center" vertical="center"/>
    </xf>
    <xf numFmtId="4" fontId="3" fillId="0" borderId="1" xfId="0" applyNumberFormat="1" applyFont="1" applyFill="1" applyBorder="1" applyAlignment="1">
      <alignment vertical="center"/>
    </xf>
    <xf numFmtId="4" fontId="1" fillId="0" borderId="1" xfId="0" applyNumberFormat="1" applyFont="1" applyBorder="1" applyAlignment="1">
      <alignment vertical="center"/>
    </xf>
    <xf numFmtId="4" fontId="3" fillId="0" borderId="1" xfId="0" applyNumberFormat="1" applyFont="1" applyBorder="1" applyAlignment="1"/>
    <xf numFmtId="4" fontId="2" fillId="0" borderId="0" xfId="0" applyNumberFormat="1" applyFont="1" applyAlignment="1"/>
    <xf numFmtId="0" fontId="9" fillId="0" borderId="1" xfId="0" applyFont="1" applyBorder="1" applyAlignment="1">
      <alignment horizontal="right" vertical="center"/>
    </xf>
    <xf numFmtId="4" fontId="9" fillId="0" borderId="1" xfId="0" applyNumberFormat="1" applyFont="1" applyBorder="1" applyAlignment="1">
      <alignment horizontal="right" vertical="center"/>
    </xf>
    <xf numFmtId="4" fontId="6" fillId="0" borderId="1" xfId="0" applyNumberFormat="1" applyFont="1" applyBorder="1" applyAlignment="1">
      <alignment vertical="center"/>
    </xf>
    <xf numFmtId="166" fontId="6" fillId="0" borderId="1" xfId="0" applyNumberFormat="1" applyFont="1" applyBorder="1" applyAlignment="1">
      <alignment vertical="center" wrapText="1"/>
    </xf>
    <xf numFmtId="164" fontId="6" fillId="0" borderId="1" xfId="0" applyNumberFormat="1" applyFont="1" applyBorder="1" applyAlignment="1">
      <alignment vertical="center" wrapText="1"/>
    </xf>
    <xf numFmtId="3" fontId="6"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right" vertical="center"/>
    </xf>
    <xf numFmtId="0" fontId="5" fillId="0" borderId="1" xfId="0" applyFont="1" applyBorder="1" applyAlignment="1">
      <alignment vertical="center" wrapText="1"/>
    </xf>
    <xf numFmtId="4" fontId="5" fillId="0" borderId="1" xfId="0" applyNumberFormat="1" applyFont="1" applyBorder="1" applyAlignment="1">
      <alignment vertical="center"/>
    </xf>
    <xf numFmtId="166" fontId="5" fillId="0" borderId="1" xfId="0" applyNumberFormat="1" applyFont="1" applyBorder="1" applyAlignment="1">
      <alignment vertical="center" wrapText="1"/>
    </xf>
    <xf numFmtId="4" fontId="5" fillId="0" borderId="1" xfId="0" applyNumberFormat="1" applyFont="1" applyBorder="1" applyAlignment="1">
      <alignment vertical="center" wrapText="1"/>
    </xf>
    <xf numFmtId="1" fontId="5" fillId="0" borderId="1" xfId="0" applyNumberFormat="1" applyFont="1" applyBorder="1" applyAlignment="1">
      <alignment vertical="center" wrapText="1"/>
    </xf>
    <xf numFmtId="164" fontId="5" fillId="0" borderId="1" xfId="0" applyNumberFormat="1" applyFont="1" applyBorder="1" applyAlignment="1">
      <alignment vertical="center" wrapText="1"/>
    </xf>
    <xf numFmtId="3" fontId="5" fillId="0" borderId="1" xfId="0" applyNumberFormat="1" applyFont="1" applyBorder="1" applyAlignment="1">
      <alignment vertical="center" wrapText="1"/>
    </xf>
    <xf numFmtId="0" fontId="5" fillId="0" borderId="1" xfId="0" applyFont="1" applyBorder="1" applyAlignment="1">
      <alignment horizontal="right" vertical="center"/>
    </xf>
    <xf numFmtId="1" fontId="5" fillId="0" borderId="1" xfId="0" applyNumberFormat="1" applyFont="1" applyBorder="1" applyAlignment="1">
      <alignment horizontal="right" vertical="center"/>
    </xf>
    <xf numFmtId="166" fontId="3" fillId="0" borderId="1"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xf>
    <xf numFmtId="166" fontId="2" fillId="0" borderId="0" xfId="0" applyNumberFormat="1" applyFont="1" applyAlignment="1">
      <alignment horizontal="center"/>
    </xf>
    <xf numFmtId="3" fontId="1" fillId="0" borderId="1" xfId="0" applyNumberFormat="1" applyFont="1" applyBorder="1" applyAlignment="1">
      <alignment vertical="center"/>
    </xf>
    <xf numFmtId="3" fontId="1" fillId="0" borderId="1" xfId="0" applyNumberFormat="1" applyFont="1" applyBorder="1" applyAlignment="1">
      <alignment horizontal="left" vertical="center" wrapText="1"/>
    </xf>
    <xf numFmtId="1" fontId="5" fillId="0" borderId="1" xfId="0" applyNumberFormat="1" applyFont="1" applyFill="1" applyBorder="1" applyAlignment="1">
      <alignment vertical="center" wrapText="1"/>
    </xf>
    <xf numFmtId="4" fontId="5" fillId="0" borderId="1" xfId="0" applyNumberFormat="1" applyFont="1" applyFill="1" applyBorder="1" applyAlignment="1">
      <alignment vertical="center" wrapText="1"/>
    </xf>
    <xf numFmtId="164" fontId="5" fillId="0" borderId="1" xfId="0" applyNumberFormat="1" applyFont="1" applyFill="1" applyBorder="1" applyAlignment="1">
      <alignment vertical="center" wrapText="1"/>
    </xf>
    <xf numFmtId="1" fontId="5" fillId="0" borderId="1" xfId="0" applyNumberFormat="1" applyFont="1" applyBorder="1" applyAlignment="1">
      <alignment vertical="center"/>
    </xf>
    <xf numFmtId="164" fontId="5" fillId="0" borderId="1" xfId="0" applyNumberFormat="1" applyFont="1" applyBorder="1" applyAlignment="1">
      <alignment horizontal="right" vertical="center"/>
    </xf>
    <xf numFmtId="0" fontId="5" fillId="0" borderId="1" xfId="0" applyFont="1" applyFill="1" applyBorder="1" applyAlignment="1">
      <alignment vertical="center" wrapText="1"/>
    </xf>
    <xf numFmtId="4" fontId="5" fillId="0" borderId="1" xfId="0" applyNumberFormat="1" applyFont="1" applyFill="1" applyBorder="1" applyAlignment="1">
      <alignment vertical="center"/>
    </xf>
    <xf numFmtId="3" fontId="5" fillId="0" borderId="1" xfId="0" applyNumberFormat="1" applyFont="1" applyFill="1" applyBorder="1" applyAlignment="1">
      <alignment vertical="center" wrapText="1"/>
    </xf>
    <xf numFmtId="3" fontId="5" fillId="0" borderId="1" xfId="0" applyNumberFormat="1" applyFont="1" applyBorder="1" applyAlignment="1">
      <alignment vertical="center"/>
    </xf>
    <xf numFmtId="0" fontId="5" fillId="0" borderId="1" xfId="0" applyFont="1" applyFill="1" applyBorder="1" applyAlignment="1">
      <alignment horizontal="right" vertical="center"/>
    </xf>
    <xf numFmtId="4" fontId="5"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164" fontId="5" fillId="0" borderId="1"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164" fontId="6"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4" fontId="3" fillId="0" borderId="1" xfId="0" applyNumberFormat="1" applyFont="1" applyBorder="1" applyAlignment="1">
      <alignment horizontal="right" vertical="center" wrapText="1"/>
    </xf>
    <xf numFmtId="2" fontId="5" fillId="0" borderId="1" xfId="0" applyNumberFormat="1" applyFont="1" applyBorder="1" applyAlignment="1">
      <alignment vertical="center" wrapText="1"/>
    </xf>
    <xf numFmtId="2" fontId="1" fillId="0" borderId="1" xfId="0" applyNumberFormat="1" applyFont="1" applyBorder="1" applyAlignment="1">
      <alignment vertical="center" wrapText="1"/>
    </xf>
    <xf numFmtId="1" fontId="8" fillId="0" borderId="0" xfId="0" applyNumberFormat="1" applyFont="1" applyAlignment="1">
      <alignment horizontal="center" vertical="center"/>
    </xf>
    <xf numFmtId="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3" fontId="1" fillId="0" borderId="1" xfId="0" applyNumberFormat="1" applyFont="1" applyFill="1" applyBorder="1" applyAlignment="1">
      <alignment vertical="center"/>
    </xf>
    <xf numFmtId="0" fontId="1" fillId="0" borderId="9" xfId="0" applyFont="1" applyBorder="1" applyAlignment="1">
      <alignment horizontal="center" vertical="center"/>
    </xf>
    <xf numFmtId="3" fontId="11" fillId="0" borderId="0" xfId="0" applyNumberFormat="1" applyFont="1"/>
    <xf numFmtId="3" fontId="10" fillId="0" borderId="0" xfId="0" applyNumberFormat="1" applyFont="1"/>
    <xf numFmtId="3" fontId="6" fillId="0" borderId="1" xfId="0" applyNumberFormat="1" applyFont="1" applyFill="1" applyBorder="1" applyAlignment="1">
      <alignment horizontal="right" vertical="center"/>
    </xf>
    <xf numFmtId="0" fontId="8" fillId="0" borderId="0" xfId="0" applyFont="1" applyBorder="1" applyAlignment="1">
      <alignment horizontal="center" vertical="center"/>
    </xf>
    <xf numFmtId="4" fontId="8" fillId="0" borderId="1" xfId="0" applyNumberFormat="1" applyFont="1" applyBorder="1" applyAlignment="1">
      <alignment horizontal="center" vertical="center"/>
    </xf>
    <xf numFmtId="1" fontId="10" fillId="0" borderId="0" xfId="0" applyNumberFormat="1" applyFont="1"/>
    <xf numFmtId="4" fontId="10" fillId="0" borderId="0" xfId="0" applyNumberFormat="1" applyFont="1"/>
    <xf numFmtId="0" fontId="8" fillId="0" borderId="0" xfId="0" applyFont="1" applyFill="1" applyBorder="1" applyAlignment="1">
      <alignment horizontal="center" vertical="center"/>
    </xf>
    <xf numFmtId="1"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0" fontId="8" fillId="2" borderId="0" xfId="0" applyFont="1" applyFill="1" applyBorder="1" applyAlignment="1">
      <alignment horizontal="center" vertical="center"/>
    </xf>
    <xf numFmtId="10" fontId="8" fillId="0" borderId="1" xfId="0" applyNumberFormat="1" applyFont="1" applyBorder="1" applyAlignment="1">
      <alignment horizontal="center" vertical="center"/>
    </xf>
    <xf numFmtId="0" fontId="5" fillId="0" borderId="1" xfId="0" applyFont="1" applyBorder="1" applyAlignment="1">
      <alignment horizontal="right" vertical="center" wrapText="1"/>
    </xf>
    <xf numFmtId="166" fontId="3" fillId="0" borderId="1" xfId="0" applyNumberFormat="1" applyFont="1" applyBorder="1" applyAlignment="1">
      <alignment horizontal="right" vertical="center"/>
    </xf>
    <xf numFmtId="164" fontId="3" fillId="0" borderId="1" xfId="0" applyNumberFormat="1" applyFont="1" applyBorder="1" applyAlignment="1">
      <alignment horizontal="right"/>
    </xf>
    <xf numFmtId="0" fontId="2" fillId="0" borderId="0" xfId="0" applyFont="1" applyAlignment="1">
      <alignment horizontal="right"/>
    </xf>
    <xf numFmtId="4" fontId="2" fillId="0" borderId="0" xfId="0" applyNumberFormat="1" applyFont="1" applyAlignment="1">
      <alignment horizontal="right"/>
    </xf>
    <xf numFmtId="4" fontId="10" fillId="0" borderId="0" xfId="0" applyNumberFormat="1" applyFont="1" applyFill="1"/>
    <xf numFmtId="0" fontId="8" fillId="0" borderId="1" xfId="0" applyFont="1" applyBorder="1" applyAlignment="1">
      <alignment horizontal="center" vertical="center"/>
    </xf>
    <xf numFmtId="4" fontId="6" fillId="0" borderId="1" xfId="0" applyNumberFormat="1" applyFont="1" applyFill="1" applyBorder="1" applyAlignment="1">
      <alignment horizontal="right" vertical="center"/>
    </xf>
    <xf numFmtId="0" fontId="10" fillId="0" borderId="0" xfId="0" applyFont="1"/>
    <xf numFmtId="1" fontId="9" fillId="0" borderId="1" xfId="0" applyNumberFormat="1" applyFont="1" applyBorder="1" applyAlignment="1">
      <alignment vertical="center" wrapText="1"/>
    </xf>
    <xf numFmtId="4" fontId="9" fillId="0" borderId="1" xfId="0" applyNumberFormat="1" applyFont="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166"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vertical="center" wrapText="1"/>
    </xf>
    <xf numFmtId="1" fontId="6" fillId="0" borderId="1" xfId="0" applyNumberFormat="1" applyFont="1" applyFill="1" applyBorder="1" applyAlignment="1">
      <alignment vertical="center" wrapText="1"/>
    </xf>
    <xf numFmtId="164" fontId="6" fillId="0" borderId="1" xfId="0" applyNumberFormat="1" applyFont="1" applyFill="1" applyBorder="1" applyAlignment="1">
      <alignment vertical="center" wrapText="1"/>
    </xf>
    <xf numFmtId="166" fontId="6" fillId="0" borderId="1" xfId="0" applyNumberFormat="1" applyFont="1" applyFill="1" applyBorder="1" applyAlignment="1">
      <alignment vertical="center" wrapText="1"/>
    </xf>
    <xf numFmtId="3" fontId="6"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4" fontId="6" fillId="0" borderId="1" xfId="0" applyNumberFormat="1" applyFont="1" applyFill="1" applyBorder="1" applyAlignment="1">
      <alignment horizontal="right" vertical="center" wrapText="1"/>
    </xf>
    <xf numFmtId="4" fontId="6" fillId="0" borderId="1" xfId="0" applyNumberFormat="1" applyFont="1" applyFill="1" applyBorder="1" applyAlignment="1">
      <alignment vertical="center"/>
    </xf>
    <xf numFmtId="3" fontId="6" fillId="0" borderId="1" xfId="0" applyNumberFormat="1" applyFont="1" applyFill="1" applyBorder="1" applyAlignment="1">
      <alignment vertical="center"/>
    </xf>
    <xf numFmtId="0" fontId="6" fillId="0" borderId="1" xfId="0" applyFont="1" applyFill="1" applyBorder="1" applyAlignment="1">
      <alignment horizontal="right" vertical="center"/>
    </xf>
    <xf numFmtId="1" fontId="6" fillId="0" borderId="1" xfId="0" applyNumberFormat="1" applyFont="1" applyFill="1" applyBorder="1" applyAlignment="1">
      <alignment horizontal="right" vertical="center"/>
    </xf>
    <xf numFmtId="0" fontId="5" fillId="0" borderId="1" xfId="0" applyFont="1" applyBorder="1" applyAlignment="1">
      <alignment vertical="center"/>
    </xf>
    <xf numFmtId="2" fontId="5" fillId="0" borderId="1" xfId="0" applyNumberFormat="1" applyFont="1" applyBorder="1" applyAlignment="1">
      <alignment vertical="center"/>
    </xf>
    <xf numFmtId="1" fontId="10" fillId="0" borderId="0" xfId="0" applyNumberFormat="1" applyFont="1" applyFill="1"/>
    <xf numFmtId="164" fontId="10" fillId="0" borderId="0" xfId="0" applyNumberFormat="1" applyFont="1" applyFill="1"/>
    <xf numFmtId="0" fontId="7" fillId="0" borderId="1" xfId="0" applyFont="1" applyFill="1" applyBorder="1" applyAlignment="1">
      <alignment vertical="center" wrapText="1"/>
    </xf>
    <xf numFmtId="1" fontId="5" fillId="0" borderId="1" xfId="0" applyNumberFormat="1" applyFont="1" applyFill="1" applyBorder="1" applyAlignment="1">
      <alignment horizontal="right" vertical="center"/>
    </xf>
    <xf numFmtId="166" fontId="5" fillId="0" borderId="1" xfId="0" applyNumberFormat="1" applyFont="1" applyFill="1" applyBorder="1" applyAlignment="1">
      <alignment vertical="center" wrapText="1"/>
    </xf>
    <xf numFmtId="1" fontId="5" fillId="0" borderId="0" xfId="0" applyNumberFormat="1" applyFont="1" applyFill="1"/>
    <xf numFmtId="0" fontId="1" fillId="0" borderId="4" xfId="0" applyFont="1" applyBorder="1" applyAlignment="1">
      <alignment vertical="center" wrapText="1"/>
    </xf>
    <xf numFmtId="3" fontId="3" fillId="0" borderId="4" xfId="0" applyNumberFormat="1" applyFont="1" applyBorder="1" applyAlignment="1">
      <alignment vertical="center" wrapText="1"/>
    </xf>
    <xf numFmtId="4" fontId="3" fillId="0" borderId="4" xfId="0" applyNumberFormat="1" applyFont="1" applyBorder="1" applyAlignment="1">
      <alignment vertical="center" wrapText="1"/>
    </xf>
    <xf numFmtId="166" fontId="3" fillId="0" borderId="4" xfId="0" applyNumberFormat="1" applyFont="1" applyBorder="1" applyAlignment="1">
      <alignment horizontal="center" vertical="center" wrapText="1"/>
    </xf>
    <xf numFmtId="1" fontId="1" fillId="0" borderId="4" xfId="0" applyNumberFormat="1" applyFont="1" applyBorder="1" applyAlignment="1">
      <alignment vertical="center" wrapText="1"/>
    </xf>
    <xf numFmtId="4" fontId="1" fillId="0" borderId="4" xfId="0" applyNumberFormat="1" applyFont="1" applyBorder="1" applyAlignment="1">
      <alignment vertical="center" wrapText="1"/>
    </xf>
    <xf numFmtId="1" fontId="3" fillId="0" borderId="4" xfId="0" applyNumberFormat="1" applyFont="1" applyBorder="1" applyAlignment="1">
      <alignment vertical="center" wrapText="1"/>
    </xf>
    <xf numFmtId="164" fontId="3" fillId="0" borderId="4" xfId="0" applyNumberFormat="1" applyFont="1" applyBorder="1" applyAlignment="1">
      <alignment vertical="center" wrapText="1"/>
    </xf>
    <xf numFmtId="166" fontId="3" fillId="0" borderId="4" xfId="0" applyNumberFormat="1" applyFont="1" applyBorder="1" applyAlignment="1">
      <alignment vertical="center" wrapText="1"/>
    </xf>
    <xf numFmtId="0" fontId="3" fillId="0" borderId="4" xfId="0" applyFont="1" applyBorder="1" applyAlignment="1">
      <alignment horizontal="right" vertical="center" wrapText="1"/>
    </xf>
    <xf numFmtId="4" fontId="3" fillId="0" borderId="4" xfId="0" applyNumberFormat="1" applyFont="1" applyBorder="1" applyAlignment="1">
      <alignment horizontal="right" vertical="center" wrapText="1"/>
    </xf>
    <xf numFmtId="0" fontId="3" fillId="0" borderId="4" xfId="0" applyFont="1" applyBorder="1" applyAlignment="1">
      <alignment vertical="center" wrapText="1"/>
    </xf>
    <xf numFmtId="4" fontId="3" fillId="0" borderId="4" xfId="0" applyNumberFormat="1" applyFont="1" applyBorder="1" applyAlignment="1">
      <alignment vertical="center"/>
    </xf>
    <xf numFmtId="3" fontId="3" fillId="0" borderId="4" xfId="0" applyNumberFormat="1" applyFont="1" applyBorder="1" applyAlignment="1">
      <alignment vertical="center"/>
    </xf>
    <xf numFmtId="1"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166" fontId="10" fillId="0" borderId="0" xfId="0" applyNumberFormat="1" applyFont="1" applyFill="1" applyAlignment="1">
      <alignment horizontal="center"/>
    </xf>
    <xf numFmtId="0" fontId="5" fillId="2" borderId="1" xfId="0" applyFont="1" applyFill="1" applyBorder="1" applyAlignment="1">
      <alignment vertical="center" wrapText="1"/>
    </xf>
    <xf numFmtId="3" fontId="5" fillId="2" borderId="1" xfId="0" applyNumberFormat="1" applyFont="1" applyFill="1" applyBorder="1" applyAlignment="1">
      <alignment vertical="center" wrapText="1"/>
    </xf>
    <xf numFmtId="4" fontId="5" fillId="2" borderId="1" xfId="0" applyNumberFormat="1" applyFont="1" applyFill="1" applyBorder="1" applyAlignment="1">
      <alignment vertical="center" wrapText="1"/>
    </xf>
    <xf numFmtId="166" fontId="5" fillId="2" borderId="1" xfId="0" applyNumberFormat="1" applyFont="1" applyFill="1" applyBorder="1" applyAlignment="1">
      <alignment horizontal="center" vertical="center" wrapText="1"/>
    </xf>
    <xf numFmtId="1" fontId="6" fillId="2" borderId="1" xfId="0" applyNumberFormat="1" applyFont="1" applyFill="1" applyBorder="1" applyAlignment="1">
      <alignment vertical="center" wrapText="1"/>
    </xf>
    <xf numFmtId="1" fontId="5" fillId="2" borderId="1" xfId="0" applyNumberFormat="1" applyFont="1" applyFill="1" applyBorder="1" applyAlignment="1">
      <alignment vertical="center" wrapText="1"/>
    </xf>
    <xf numFmtId="164" fontId="5" fillId="2" borderId="1" xfId="0" applyNumberFormat="1" applyFont="1" applyFill="1" applyBorder="1" applyAlignment="1">
      <alignment vertical="center" wrapText="1"/>
    </xf>
    <xf numFmtId="166" fontId="5" fillId="2" borderId="1" xfId="0" applyNumberFormat="1" applyFont="1" applyFill="1" applyBorder="1" applyAlignment="1">
      <alignment vertical="center" wrapText="1"/>
    </xf>
    <xf numFmtId="1"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 fontId="3" fillId="2" borderId="1" xfId="0" applyNumberFormat="1" applyFont="1" applyFill="1" applyBorder="1" applyAlignment="1">
      <alignment vertical="center" wrapText="1"/>
    </xf>
    <xf numFmtId="4" fontId="3" fillId="2" borderId="1" xfId="0" applyNumberFormat="1" applyFont="1" applyFill="1" applyBorder="1" applyAlignment="1">
      <alignment vertical="center" wrapText="1"/>
    </xf>
    <xf numFmtId="164" fontId="3" fillId="2" borderId="1" xfId="0" applyNumberFormat="1" applyFont="1" applyFill="1" applyBorder="1" applyAlignment="1">
      <alignment vertical="center" wrapText="1"/>
    </xf>
    <xf numFmtId="3" fontId="3" fillId="2" borderId="0" xfId="0" applyNumberFormat="1" applyFont="1" applyFill="1" applyBorder="1" applyAlignment="1">
      <alignment horizontal="center" vertical="center" wrapText="1"/>
    </xf>
    <xf numFmtId="3" fontId="10" fillId="2" borderId="0" xfId="0" applyNumberFormat="1" applyFont="1" applyFill="1"/>
    <xf numFmtId="0" fontId="2" fillId="2" borderId="0" xfId="0" applyFont="1" applyFill="1"/>
    <xf numFmtId="1"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wrapText="1"/>
    </xf>
    <xf numFmtId="1" fontId="3"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 fontId="5" fillId="0" borderId="2" xfId="0" applyNumberFormat="1" applyFont="1" applyFill="1" applyBorder="1" applyAlignment="1">
      <alignment vertical="center" wrapText="1"/>
    </xf>
    <xf numFmtId="1" fontId="5" fillId="0" borderId="3" xfId="0" applyNumberFormat="1" applyFont="1" applyFill="1" applyBorder="1" applyAlignment="1">
      <alignment vertical="center" wrapText="1"/>
    </xf>
    <xf numFmtId="3" fontId="3" fillId="0" borderId="2" xfId="0" applyNumberFormat="1" applyFont="1" applyBorder="1" applyAlignment="1">
      <alignment vertical="center" wrapText="1"/>
    </xf>
    <xf numFmtId="3" fontId="3" fillId="0" borderId="3" xfId="0" applyNumberFormat="1" applyFont="1" applyBorder="1" applyAlignment="1">
      <alignment vertical="center" wrapText="1"/>
    </xf>
    <xf numFmtId="1" fontId="3" fillId="0" borderId="2" xfId="0" applyNumberFormat="1" applyFont="1" applyBorder="1" applyAlignment="1">
      <alignment vertical="center" wrapText="1"/>
    </xf>
    <xf numFmtId="0" fontId="0" fillId="0" borderId="3" xfId="0" applyBorder="1" applyAlignment="1">
      <alignment vertical="center" wrapText="1"/>
    </xf>
    <xf numFmtId="1" fontId="3" fillId="0" borderId="3" xfId="0" applyNumberFormat="1" applyFont="1" applyBorder="1" applyAlignment="1">
      <alignment vertical="center" wrapText="1"/>
    </xf>
    <xf numFmtId="1" fontId="7" fillId="0" borderId="1" xfId="0" applyNumberFormat="1" applyFont="1" applyFill="1" applyBorder="1" applyAlignment="1">
      <alignment vertical="center" wrapText="1"/>
    </xf>
    <xf numFmtId="4" fontId="7" fillId="0" borderId="1" xfId="0" applyNumberFormat="1" applyFont="1" applyFill="1" applyBorder="1" applyAlignment="1">
      <alignment vertical="center" wrapText="1"/>
    </xf>
    <xf numFmtId="4" fontId="13" fillId="0" borderId="0" xfId="0" applyNumberFormat="1" applyFont="1" applyFill="1" applyAlignment="1">
      <alignment horizontal="center" vertical="center"/>
    </xf>
    <xf numFmtId="1" fontId="8" fillId="0" borderId="0" xfId="0" applyNumberFormat="1" applyFont="1" applyFill="1" applyAlignment="1">
      <alignment horizontal="center" vertical="center"/>
    </xf>
    <xf numFmtId="4" fontId="8" fillId="0" borderId="0" xfId="0" applyNumberFormat="1"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3" fontId="8" fillId="0" borderId="0" xfId="0" applyNumberFormat="1" applyFont="1" applyFill="1" applyAlignment="1">
      <alignment horizontal="center" vertical="center"/>
    </xf>
    <xf numFmtId="16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right" vertical="center" wrapText="1"/>
    </xf>
    <xf numFmtId="0" fontId="3" fillId="2" borderId="1" xfId="0" applyNumberFormat="1" applyFont="1" applyFill="1" applyBorder="1" applyAlignment="1">
      <alignment horizontal="right" vertical="center" wrapText="1"/>
    </xf>
    <xf numFmtId="0" fontId="5"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xf>
    <xf numFmtId="2" fontId="5" fillId="2" borderId="1" xfId="0" applyNumberFormat="1" applyFont="1" applyFill="1" applyBorder="1" applyAlignment="1">
      <alignment horizontal="right" vertical="center" wrapText="1"/>
    </xf>
    <xf numFmtId="3" fontId="5" fillId="2" borderId="4" xfId="0" applyNumberFormat="1" applyFont="1" applyFill="1" applyBorder="1" applyAlignment="1">
      <alignment vertical="center" wrapText="1"/>
    </xf>
    <xf numFmtId="4" fontId="5" fillId="2" borderId="4" xfId="0" applyNumberFormat="1" applyFont="1" applyFill="1" applyBorder="1" applyAlignment="1">
      <alignment vertical="center" wrapText="1"/>
    </xf>
    <xf numFmtId="166" fontId="5" fillId="2" borderId="4" xfId="0" applyNumberFormat="1" applyFont="1" applyFill="1" applyBorder="1" applyAlignment="1">
      <alignment horizontal="center" vertical="center" wrapText="1"/>
    </xf>
    <xf numFmtId="1" fontId="6" fillId="2" borderId="4" xfId="0" applyNumberFormat="1" applyFont="1" applyFill="1" applyBorder="1" applyAlignment="1">
      <alignment vertical="center" wrapText="1"/>
    </xf>
    <xf numFmtId="4" fontId="6" fillId="2" borderId="4" xfId="0" applyNumberFormat="1" applyFont="1" applyFill="1" applyBorder="1" applyAlignment="1">
      <alignment vertical="center" wrapText="1"/>
    </xf>
    <xf numFmtId="1" fontId="5" fillId="2" borderId="4" xfId="0" applyNumberFormat="1" applyFont="1" applyFill="1" applyBorder="1" applyAlignment="1">
      <alignment vertical="center" wrapText="1"/>
    </xf>
    <xf numFmtId="164" fontId="5" fillId="2" borderId="4" xfId="0" applyNumberFormat="1" applyFont="1" applyFill="1" applyBorder="1" applyAlignment="1">
      <alignment vertical="center" wrapText="1"/>
    </xf>
    <xf numFmtId="166" fontId="5" fillId="2" borderId="4" xfId="0" applyNumberFormat="1" applyFont="1" applyFill="1" applyBorder="1" applyAlignment="1">
      <alignment vertical="center" wrapText="1"/>
    </xf>
    <xf numFmtId="1" fontId="5" fillId="2" borderId="4"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1" fontId="5" fillId="0" borderId="4" xfId="0" applyNumberFormat="1" applyFont="1" applyFill="1" applyBorder="1" applyAlignment="1">
      <alignment vertical="center" wrapText="1"/>
    </xf>
    <xf numFmtId="4" fontId="5" fillId="0" borderId="4" xfId="0" applyNumberFormat="1" applyFont="1" applyFill="1" applyBorder="1" applyAlignment="1">
      <alignment vertical="center" wrapText="1"/>
    </xf>
    <xf numFmtId="0" fontId="5" fillId="0" borderId="0" xfId="0" applyFont="1" applyFill="1" applyBorder="1" applyAlignment="1">
      <alignment horizontal="left" vertical="center"/>
    </xf>
    <xf numFmtId="1" fontId="5" fillId="0" borderId="1" xfId="0" applyNumberFormat="1" applyFont="1" applyFill="1" applyBorder="1" applyAlignment="1">
      <alignment vertical="center"/>
    </xf>
    <xf numFmtId="0" fontId="16" fillId="0" borderId="1" xfId="0" applyFont="1" applyBorder="1" applyAlignment="1">
      <alignment vertical="center" wrapText="1"/>
    </xf>
    <xf numFmtId="0" fontId="3" fillId="0" borderId="1" xfId="0"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xf>
    <xf numFmtId="1" fontId="3" fillId="0" borderId="1" xfId="0" applyNumberFormat="1" applyFont="1" applyFill="1" applyBorder="1" applyAlignment="1">
      <alignment vertical="center"/>
    </xf>
    <xf numFmtId="1" fontId="3" fillId="0" borderId="1" xfId="0" applyNumberFormat="1" applyFont="1" applyFill="1" applyBorder="1" applyAlignment="1">
      <alignment horizontal="right" vertical="center"/>
    </xf>
    <xf numFmtId="4" fontId="7" fillId="0" borderId="1" xfId="0" applyNumberFormat="1" applyFont="1" applyFill="1" applyBorder="1" applyAlignment="1">
      <alignment vertical="center"/>
    </xf>
    <xf numFmtId="3" fontId="7" fillId="0" borderId="1" xfId="0" applyNumberFormat="1" applyFont="1" applyFill="1" applyBorder="1" applyAlignment="1">
      <alignment vertical="center" wrapText="1"/>
    </xf>
    <xf numFmtId="3" fontId="7" fillId="0" borderId="1" xfId="0" applyNumberFormat="1" applyFont="1" applyFill="1" applyBorder="1" applyAlignment="1">
      <alignment vertical="center"/>
    </xf>
    <xf numFmtId="0" fontId="5" fillId="0" borderId="1" xfId="0"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0" fontId="3" fillId="2" borderId="1" xfId="0" applyFont="1" applyFill="1" applyBorder="1" applyAlignment="1">
      <alignment vertical="center" wrapText="1"/>
    </xf>
    <xf numFmtId="164" fontId="5" fillId="3" borderId="1" xfId="0" applyNumberFormat="1" applyFont="1" applyFill="1" applyBorder="1" applyAlignment="1">
      <alignment horizontal="right" vertical="center" wrapText="1"/>
    </xf>
    <xf numFmtId="4" fontId="5" fillId="3" borderId="1" xfId="0" applyNumberFormat="1" applyFont="1" applyFill="1" applyBorder="1" applyAlignment="1">
      <alignment horizontal="right" vertical="center" wrapText="1"/>
    </xf>
    <xf numFmtId="0" fontId="8" fillId="0" borderId="1" xfId="0" applyFont="1" applyFill="1" applyBorder="1" applyAlignment="1">
      <alignment horizontal="center" vertical="center"/>
    </xf>
    <xf numFmtId="0" fontId="13" fillId="0" borderId="0" xfId="0" applyFont="1" applyFill="1" applyAlignment="1">
      <alignment horizontal="center" vertical="center"/>
    </xf>
    <xf numFmtId="1" fontId="13" fillId="0" borderId="0" xfId="0" applyNumberFormat="1" applyFont="1" applyFill="1" applyAlignment="1">
      <alignment horizontal="center" vertical="center"/>
    </xf>
    <xf numFmtId="164" fontId="13" fillId="0" borderId="0" xfId="0" applyNumberFormat="1" applyFont="1" applyFill="1" applyAlignment="1">
      <alignment horizontal="center" vertical="center"/>
    </xf>
    <xf numFmtId="3" fontId="13" fillId="0" borderId="0" xfId="0" applyNumberFormat="1" applyFont="1" applyFill="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center"/>
    </xf>
    <xf numFmtId="166"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5" fillId="0" borderId="0" xfId="0" applyFont="1" applyFill="1"/>
    <xf numFmtId="0" fontId="10" fillId="0" borderId="0" xfId="0" applyFont="1" applyFill="1"/>
    <xf numFmtId="166" fontId="10" fillId="0" borderId="0" xfId="0" applyNumberFormat="1" applyFont="1" applyFill="1"/>
    <xf numFmtId="1" fontId="8" fillId="0" borderId="0" xfId="0" applyNumberFormat="1" applyFont="1" applyFill="1" applyAlignment="1">
      <alignment vertical="center"/>
    </xf>
    <xf numFmtId="164" fontId="8"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xf>
    <xf numFmtId="166" fontId="8" fillId="0" borderId="0" xfId="0" applyNumberFormat="1" applyFont="1" applyFill="1" applyBorder="1" applyAlignment="1">
      <alignment horizontal="center" vertical="center"/>
    </xf>
    <xf numFmtId="1"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1" fontId="8" fillId="0" borderId="0" xfId="0" applyNumberFormat="1" applyFont="1" applyFill="1" applyBorder="1" applyAlignment="1">
      <alignment horizontal="center" vertical="center"/>
    </xf>
    <xf numFmtId="3" fontId="4" fillId="0" borderId="0" xfId="0" applyNumberFormat="1" applyFont="1" applyFill="1" applyAlignment="1">
      <alignment horizontal="center" vertical="center"/>
    </xf>
    <xf numFmtId="0" fontId="2" fillId="0" borderId="0" xfId="0" applyFont="1" applyFill="1"/>
    <xf numFmtId="4" fontId="2" fillId="0" borderId="0" xfId="0" applyNumberFormat="1" applyFont="1" applyFill="1"/>
    <xf numFmtId="166" fontId="2" fillId="0" borderId="0" xfId="0" applyNumberFormat="1" applyFont="1" applyFill="1" applyAlignment="1">
      <alignment horizontal="center"/>
    </xf>
    <xf numFmtId="1" fontId="2" fillId="0" borderId="0" xfId="0" applyNumberFormat="1" applyFont="1" applyFill="1"/>
    <xf numFmtId="164" fontId="2" fillId="0" borderId="0" xfId="0" applyNumberFormat="1" applyFont="1" applyFill="1"/>
    <xf numFmtId="166" fontId="2" fillId="0" borderId="0" xfId="0" applyNumberFormat="1" applyFont="1" applyFill="1"/>
    <xf numFmtId="0" fontId="4" fillId="0" borderId="0" xfId="0" applyFont="1" applyFill="1" applyAlignment="1">
      <alignment horizontal="righ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justify" vertical="center"/>
    </xf>
    <xf numFmtId="4" fontId="3" fillId="0" borderId="1" xfId="0" applyNumberFormat="1" applyFont="1" applyFill="1" applyBorder="1" applyAlignment="1">
      <alignment horizontal="justify" vertical="center"/>
    </xf>
    <xf numFmtId="166"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justify" vertical="center"/>
    </xf>
    <xf numFmtId="164" fontId="3" fillId="0" borderId="1" xfId="0" applyNumberFormat="1" applyFont="1" applyFill="1" applyBorder="1" applyAlignment="1">
      <alignment horizontal="justify" vertical="center"/>
    </xf>
    <xf numFmtId="4" fontId="3" fillId="0" borderId="1" xfId="0" applyNumberFormat="1" applyFont="1" applyFill="1" applyBorder="1" applyAlignment="1">
      <alignment horizontal="center" vertical="center"/>
    </xf>
    <xf numFmtId="166" fontId="3" fillId="0" borderId="1" xfId="0" applyNumberFormat="1" applyFont="1" applyFill="1" applyBorder="1" applyAlignment="1">
      <alignment horizontal="justify" vertical="center"/>
    </xf>
    <xf numFmtId="3" fontId="3" fillId="0" borderId="1" xfId="0" applyNumberFormat="1" applyFont="1" applyFill="1" applyBorder="1" applyAlignment="1">
      <alignment horizontal="justify"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 fontId="13" fillId="2" borderId="0" xfId="0" applyNumberFormat="1" applyFont="1" applyFill="1" applyAlignment="1">
      <alignment horizontal="center" vertical="center"/>
    </xf>
    <xf numFmtId="1" fontId="9" fillId="3" borderId="1" xfId="0" applyNumberFormat="1" applyFont="1" applyFill="1" applyBorder="1" applyAlignment="1">
      <alignment horizontal="right" vertical="center"/>
    </xf>
    <xf numFmtId="4" fontId="9" fillId="3" borderId="1" xfId="0" applyNumberFormat="1" applyFont="1" applyFill="1" applyBorder="1" applyAlignment="1">
      <alignment horizontal="right" vertical="center"/>
    </xf>
    <xf numFmtId="0" fontId="3" fillId="2" borderId="1" xfId="0" applyFont="1" applyFill="1" applyBorder="1" applyAlignment="1">
      <alignment vertical="center"/>
    </xf>
    <xf numFmtId="4" fontId="3" fillId="2" borderId="1" xfId="0" applyNumberFormat="1" applyFont="1" applyFill="1" applyBorder="1" applyAlignment="1">
      <alignment vertical="center"/>
    </xf>
    <xf numFmtId="166" fontId="3" fillId="2" borderId="1" xfId="0" applyNumberFormat="1" applyFont="1" applyFill="1" applyBorder="1" applyAlignment="1">
      <alignment horizontal="center" vertical="center" wrapText="1"/>
    </xf>
    <xf numFmtId="166" fontId="3" fillId="2" borderId="1" xfId="0" applyNumberFormat="1" applyFont="1" applyFill="1" applyBorder="1" applyAlignment="1">
      <alignment vertical="center" wrapText="1"/>
    </xf>
    <xf numFmtId="3" fontId="3" fillId="2" borderId="1" xfId="0" applyNumberFormat="1" applyFont="1" applyFill="1" applyBorder="1" applyAlignment="1">
      <alignment vertical="center" wrapText="1"/>
    </xf>
    <xf numFmtId="1" fontId="5" fillId="2" borderId="1" xfId="0" applyNumberFormat="1" applyFont="1" applyFill="1" applyBorder="1" applyAlignment="1">
      <alignment vertical="center"/>
    </xf>
    <xf numFmtId="4" fontId="5" fillId="2" borderId="1" xfId="0" applyNumberFormat="1" applyFont="1" applyFill="1" applyBorder="1" applyAlignment="1">
      <alignment vertical="center"/>
    </xf>
    <xf numFmtId="164" fontId="5" fillId="2" borderId="1" xfId="0" applyNumberFormat="1" applyFont="1" applyFill="1" applyBorder="1" applyAlignment="1">
      <alignment horizontal="right" vertical="center"/>
    </xf>
    <xf numFmtId="3" fontId="5" fillId="2" borderId="1" xfId="0" applyNumberFormat="1" applyFont="1" applyFill="1" applyBorder="1" applyAlignment="1">
      <alignment vertical="center"/>
    </xf>
    <xf numFmtId="3" fontId="3" fillId="2" borderId="1" xfId="0" applyNumberFormat="1" applyFont="1" applyFill="1" applyBorder="1" applyAlignment="1">
      <alignment vertical="center"/>
    </xf>
    <xf numFmtId="0" fontId="5" fillId="2" borderId="1" xfId="0" applyFont="1" applyFill="1" applyBorder="1" applyAlignment="1">
      <alignment horizontal="right" vertical="center"/>
    </xf>
    <xf numFmtId="4" fontId="5" fillId="2" borderId="1" xfId="0" applyNumberFormat="1" applyFont="1" applyFill="1" applyBorder="1" applyAlignment="1">
      <alignment horizontal="right" vertical="center"/>
    </xf>
    <xf numFmtId="1" fontId="5" fillId="2" borderId="1"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3" fontId="2" fillId="2" borderId="0" xfId="0" applyNumberFormat="1" applyFont="1" applyFill="1"/>
    <xf numFmtId="3" fontId="13" fillId="0" borderId="0" xfId="0" applyNumberFormat="1" applyFont="1" applyFill="1" applyAlignment="1">
      <alignment horizontal="center" vertical="center"/>
    </xf>
    <xf numFmtId="1" fontId="13" fillId="0" borderId="0" xfId="0" applyNumberFormat="1" applyFont="1" applyFill="1" applyAlignment="1">
      <alignment horizontal="center" vertical="center"/>
    </xf>
    <xf numFmtId="1" fontId="8" fillId="2" borderId="1" xfId="0" applyNumberFormat="1" applyFont="1" applyFill="1" applyBorder="1" applyAlignment="1">
      <alignment horizontal="center" vertical="center"/>
    </xf>
    <xf numFmtId="3" fontId="1" fillId="0" borderId="9" xfId="0" applyNumberFormat="1" applyFont="1" applyBorder="1" applyAlignment="1">
      <alignment horizontal="center" vertical="center"/>
    </xf>
    <xf numFmtId="4" fontId="1" fillId="0" borderId="0" xfId="0" applyNumberFormat="1" applyFont="1"/>
    <xf numFmtId="0" fontId="13" fillId="0" borderId="0" xfId="0" applyFont="1" applyFill="1" applyAlignment="1">
      <alignment horizontal="center" vertical="center"/>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 fontId="13" fillId="0" borderId="0" xfId="0" applyNumberFormat="1" applyFont="1" applyFill="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13" fillId="0" borderId="0" xfId="0" applyFont="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64" fontId="13" fillId="0" borderId="0" xfId="0" applyNumberFormat="1" applyFont="1" applyFill="1" applyAlignment="1">
      <alignment horizontal="righ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13" fillId="0" borderId="0" xfId="1" applyFont="1" applyFill="1" applyBorder="1" applyAlignment="1">
      <alignment horizontal="center" vertical="center"/>
    </xf>
    <xf numFmtId="1" fontId="13" fillId="0" borderId="0" xfId="0" applyNumberFormat="1" applyFont="1" applyFill="1" applyBorder="1" applyAlignment="1">
      <alignment horizontal="center" vertical="center"/>
    </xf>
    <xf numFmtId="3" fontId="13" fillId="0" borderId="0" xfId="0" applyNumberFormat="1" applyFont="1" applyFill="1" applyAlignment="1">
      <alignment horizontal="center" vertical="center"/>
    </xf>
    <xf numFmtId="166"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3" fillId="2" borderId="0" xfId="0" applyFont="1" applyFill="1" applyAlignment="1">
      <alignment horizontal="center" vertical="center"/>
    </xf>
    <xf numFmtId="164" fontId="13" fillId="0" borderId="0" xfId="0" applyNumberFormat="1" applyFont="1" applyFill="1" applyAlignment="1">
      <alignment horizontal="center" vertical="center"/>
    </xf>
    <xf numFmtId="0" fontId="1" fillId="0" borderId="5" xfId="0" applyFont="1" applyFill="1" applyBorder="1" applyAlignment="1">
      <alignment horizontal="justify" vertical="center"/>
    </xf>
    <xf numFmtId="0" fontId="1" fillId="0" borderId="7" xfId="0" applyFont="1" applyFill="1" applyBorder="1" applyAlignment="1">
      <alignment horizontal="justify" vertical="center"/>
    </xf>
    <xf numFmtId="4" fontId="13" fillId="0" borderId="0" xfId="0" applyNumberFormat="1" applyFont="1" applyFill="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66" fontId="3" fillId="0" borderId="2"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0" fontId="12" fillId="0" borderId="0" xfId="0" applyFont="1" applyAlignment="1">
      <alignment horizontal="center"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4" fillId="0" borderId="0" xfId="0" applyFont="1" applyAlignment="1">
      <alignment horizontal="center" vertical="center"/>
    </xf>
    <xf numFmtId="0" fontId="3" fillId="0" borderId="5"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7" xfId="0" applyFont="1" applyBorder="1" applyAlignment="1">
      <alignment horizontal="justify" vertical="center" wrapText="1"/>
    </xf>
    <xf numFmtId="0" fontId="4"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3" fontId="1" fillId="0" borderId="2" xfId="0" applyNumberFormat="1" applyFont="1" applyBorder="1" applyAlignment="1">
      <alignment horizontal="center" vertical="center"/>
    </xf>
    <xf numFmtId="3" fontId="1" fillId="0" borderId="3" xfId="0" applyNumberFormat="1" applyFont="1" applyBorder="1" applyAlignment="1">
      <alignment horizontal="center" vertical="center"/>
    </xf>
    <xf numFmtId="167" fontId="13" fillId="2" borderId="10" xfId="2" applyNumberFormat="1" applyFont="1" applyFill="1" applyBorder="1" applyAlignment="1">
      <alignment horizontal="center" vertical="center"/>
    </xf>
    <xf numFmtId="10" fontId="13" fillId="0" borderId="9" xfId="1" applyNumberFormat="1" applyFont="1" applyFill="1" applyBorder="1" applyAlignment="1">
      <alignment horizontal="center" vertical="center"/>
    </xf>
    <xf numFmtId="4" fontId="13" fillId="0" borderId="0" xfId="0" applyNumberFormat="1" applyFont="1" applyBorder="1" applyAlignment="1">
      <alignment horizontal="center" vertical="center"/>
    </xf>
    <xf numFmtId="4" fontId="13" fillId="0" borderId="0" xfId="0" applyNumberFormat="1" applyFont="1" applyFill="1" applyAlignment="1">
      <alignment horizontal="center" vertical="center"/>
    </xf>
    <xf numFmtId="10" fontId="13" fillId="0" borderId="0" xfId="1" applyNumberFormat="1" applyFont="1" applyFill="1" applyBorder="1" applyAlignment="1">
      <alignment horizontal="center" vertical="center"/>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13" fillId="0" borderId="0" xfId="0" applyFont="1" applyFill="1" applyAlignment="1">
      <alignment horizontal="right" vertical="center"/>
    </xf>
    <xf numFmtId="1" fontId="15" fillId="0" borderId="2" xfId="0" applyNumberFormat="1" applyFont="1" applyBorder="1" applyAlignment="1">
      <alignment horizontal="center" vertical="center"/>
    </xf>
    <xf numFmtId="1" fontId="15" fillId="0" borderId="3" xfId="0" applyNumberFormat="1"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2" xfId="0" applyFont="1" applyFill="1" applyBorder="1" applyAlignment="1">
      <alignment horizontal="center" vertical="top"/>
    </xf>
    <xf numFmtId="0" fontId="8" fillId="0" borderId="3" xfId="0" applyFont="1" applyFill="1" applyBorder="1" applyAlignment="1">
      <alignment horizontal="center"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9" fontId="8" fillId="0" borderId="2" xfId="1" applyFont="1" applyFill="1" applyBorder="1" applyAlignment="1">
      <alignment horizontal="center" vertical="center"/>
    </xf>
    <xf numFmtId="9" fontId="8" fillId="0" borderId="3" xfId="1" applyFont="1" applyFill="1" applyBorder="1" applyAlignment="1">
      <alignment horizontal="center" vertical="center"/>
    </xf>
  </cellXfs>
  <cellStyles count="3">
    <cellStyle name="Обычный" xfId="0" builtinId="0"/>
    <cellStyle name="Процентный" xfId="1" builtinId="5"/>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spPr>
            <a:solidFill>
              <a:schemeClr val="accent1"/>
            </a:solidFill>
            <a:ln>
              <a:noFill/>
            </a:ln>
            <a:effectLst/>
          </c:spPr>
          <c:invertIfNegative val="0"/>
          <c:val>
            <c:numRef>
              <c:f>Лист2!$X$19:$Y$19</c:f>
            </c:numRef>
          </c:val>
          <c:extLst>
            <c:ext xmlns:c16="http://schemas.microsoft.com/office/drawing/2014/chart" uri="{C3380CC4-5D6E-409C-BE32-E72D297353CC}">
              <c16:uniqueId val="{00000000-D5EA-4174-B547-B1B0FE3E21B3}"/>
            </c:ext>
          </c:extLst>
        </c:ser>
        <c:ser>
          <c:idx val="1"/>
          <c:order val="1"/>
          <c:spPr>
            <a:solidFill>
              <a:schemeClr val="accent2"/>
            </a:solidFill>
            <a:ln>
              <a:noFill/>
            </a:ln>
            <a:effectLst/>
          </c:spPr>
          <c:invertIfNegative val="0"/>
          <c:val>
            <c:numRef>
              <c:f>Лист2!$X$20:$Y$20</c:f>
            </c:numRef>
          </c:val>
          <c:extLst>
            <c:ext xmlns:c16="http://schemas.microsoft.com/office/drawing/2014/chart" uri="{C3380CC4-5D6E-409C-BE32-E72D297353CC}">
              <c16:uniqueId val="{00000001-D5EA-4174-B547-B1B0FE3E21B3}"/>
            </c:ext>
          </c:extLst>
        </c:ser>
        <c:dLbls>
          <c:showLegendKey val="0"/>
          <c:showVal val="0"/>
          <c:showCatName val="0"/>
          <c:showSerName val="0"/>
          <c:showPercent val="0"/>
          <c:showBubbleSize val="0"/>
        </c:dLbls>
        <c:gapWidth val="219"/>
        <c:overlap val="-27"/>
        <c:axId val="1125569024"/>
        <c:axId val="1125569568"/>
      </c:barChart>
      <c:catAx>
        <c:axId val="11255690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25569568"/>
        <c:crosses val="autoZero"/>
        <c:auto val="1"/>
        <c:lblAlgn val="ctr"/>
        <c:lblOffset val="100"/>
        <c:noMultiLvlLbl val="0"/>
      </c:catAx>
      <c:valAx>
        <c:axId val="1125569568"/>
        <c:scaling>
          <c:orientation val="minMax"/>
        </c:scaling>
        <c:delete val="0"/>
        <c:axPos val="l"/>
        <c:majorGridlines>
          <c:spPr>
            <a:ln w="9525" cap="flat" cmpd="sng" algn="ctr">
              <a:solidFill>
                <a:schemeClr val="tx1">
                  <a:lumMod val="15000"/>
                  <a:lumOff val="85000"/>
                </a:schemeClr>
              </a:solidFill>
              <a:round/>
            </a:ln>
            <a:effectLst/>
          </c:spPr>
        </c:majorGridlines>
        <c:numFmt formatCode="#\ ##0\ 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2556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2683" cy="6102195"/>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6"/>
  <sheetViews>
    <sheetView tabSelected="1" view="pageBreakPreview" zoomScale="130" zoomScaleNormal="100" zoomScaleSheetLayoutView="130" workbookViewId="0">
      <selection activeCell="A2" sqref="A2:DI2"/>
    </sheetView>
  </sheetViews>
  <sheetFormatPr defaultRowHeight="15.75" x14ac:dyDescent="0.25"/>
  <cols>
    <col min="1" max="1" width="49.7109375" style="1" customWidth="1"/>
    <col min="2" max="2" width="9.85546875" style="1" hidden="1" customWidth="1"/>
    <col min="3" max="3" width="11.7109375" style="3" hidden="1" customWidth="1"/>
    <col min="4" max="4" width="9.85546875" style="111" hidden="1" customWidth="1"/>
    <col min="5" max="5" width="11.28515625" style="3" hidden="1" customWidth="1"/>
    <col min="6" max="6" width="9" style="36" hidden="1" customWidth="1"/>
    <col min="7" max="7" width="11.28515625" style="3" hidden="1" customWidth="1"/>
    <col min="8" max="8" width="8.42578125" style="36" hidden="1" customWidth="1"/>
    <col min="9" max="9" width="11.7109375" style="3" hidden="1" customWidth="1"/>
    <col min="10" max="10" width="9.42578125" style="36" hidden="1" customWidth="1"/>
    <col min="11" max="11" width="10.5703125" style="3" hidden="1" customWidth="1"/>
    <col min="12" max="12" width="9.5703125" style="36" hidden="1" customWidth="1"/>
    <col min="13" max="13" width="12.5703125" style="3" hidden="1" customWidth="1"/>
    <col min="14" max="14" width="8.85546875" style="36" hidden="1" customWidth="1"/>
    <col min="15" max="15" width="11.7109375" style="3" hidden="1" customWidth="1"/>
    <col min="16" max="16" width="10.42578125" style="36" hidden="1" customWidth="1"/>
    <col min="17" max="17" width="10.7109375" style="3" hidden="1" customWidth="1"/>
    <col min="18" max="18" width="9.5703125" style="36" hidden="1" customWidth="1"/>
    <col min="19" max="19" width="12.28515625" style="3" hidden="1" customWidth="1"/>
    <col min="20" max="20" width="9" style="67" hidden="1" customWidth="1"/>
    <col min="21" max="21" width="14" style="3" hidden="1" customWidth="1"/>
    <col min="22" max="22" width="9.140625" style="42" hidden="1" customWidth="1"/>
    <col min="23" max="23" width="11.140625" style="3" hidden="1" customWidth="1"/>
    <col min="24" max="24" width="8.28515625" style="42" hidden="1" customWidth="1"/>
    <col min="25" max="25" width="12.7109375" style="3" hidden="1" customWidth="1"/>
    <col min="26" max="26" width="8.85546875" style="36" hidden="1" customWidth="1"/>
    <col min="27" max="27" width="10.5703125" style="3" hidden="1" customWidth="1"/>
    <col min="28" max="28" width="4.42578125" style="36" hidden="1" customWidth="1"/>
    <col min="29" max="29" width="10.5703125" style="3" hidden="1" customWidth="1"/>
    <col min="30" max="30" width="4.42578125" style="28" hidden="1" customWidth="1"/>
    <col min="31" max="31" width="10.5703125" style="3" hidden="1" customWidth="1"/>
    <col min="32" max="32" width="4.42578125" style="36" hidden="1" customWidth="1"/>
    <col min="33" max="33" width="10.140625" style="3" hidden="1" customWidth="1"/>
    <col min="34" max="34" width="4.42578125" style="36" hidden="1" customWidth="1"/>
    <col min="35" max="35" width="10.5703125" style="3" hidden="1" customWidth="1"/>
    <col min="36" max="36" width="4.42578125" style="36" hidden="1" customWidth="1"/>
    <col min="37" max="37" width="10.5703125" style="3" hidden="1" customWidth="1"/>
    <col min="38" max="38" width="4.42578125" style="36" hidden="1" customWidth="1"/>
    <col min="39" max="39" width="10.5703125" style="3" hidden="1" customWidth="1"/>
    <col min="40" max="40" width="4.42578125" style="36" hidden="1" customWidth="1"/>
    <col min="41" max="41" width="0.140625" style="3" hidden="1" customWidth="1"/>
    <col min="42" max="42" width="4.42578125" style="36" hidden="1" customWidth="1"/>
    <col min="43" max="43" width="10.5703125" style="3" hidden="1" customWidth="1"/>
    <col min="44" max="44" width="4.42578125" style="36" hidden="1" customWidth="1"/>
    <col min="45" max="45" width="10.140625" style="3" hidden="1" customWidth="1"/>
    <col min="46" max="46" width="4.42578125" style="36" hidden="1" customWidth="1"/>
    <col min="47" max="47" width="10.5703125" style="3" hidden="1" customWidth="1"/>
    <col min="48" max="48" width="6.42578125" style="67" hidden="1" customWidth="1"/>
    <col min="49" max="49" width="10.5703125" style="3" hidden="1" customWidth="1"/>
    <col min="50" max="50" width="6.7109375" style="36" hidden="1" customWidth="1"/>
    <col min="51" max="51" width="10.5703125" style="3" hidden="1" customWidth="1"/>
    <col min="52" max="52" width="4.42578125" style="36" hidden="1" customWidth="1"/>
    <col min="53" max="53" width="10.5703125" style="3" hidden="1" customWidth="1"/>
    <col min="54" max="54" width="5" style="36" hidden="1" customWidth="1"/>
    <col min="55" max="55" width="10.5703125" style="3" hidden="1" customWidth="1"/>
    <col min="56" max="56" width="7.5703125" style="36" hidden="1" customWidth="1"/>
    <col min="57" max="57" width="10.5703125" style="3" hidden="1" customWidth="1"/>
    <col min="58" max="58" width="5.5703125" style="36" hidden="1" customWidth="1"/>
    <col min="59" max="59" width="12" style="3" hidden="1" customWidth="1"/>
    <col min="60" max="60" width="12" style="36" hidden="1" customWidth="1"/>
    <col min="61" max="61" width="14" style="3" hidden="1" customWidth="1"/>
    <col min="62" max="62" width="12.28515625" style="36" hidden="1" customWidth="1"/>
    <col min="63" max="63" width="12.42578125" style="3" hidden="1" customWidth="1"/>
    <col min="64" max="64" width="12" style="36" hidden="1" customWidth="1"/>
    <col min="65" max="65" width="14" style="3" hidden="1" customWidth="1"/>
    <col min="66" max="66" width="9.85546875" style="67" hidden="1" customWidth="1"/>
    <col min="67" max="67" width="14" style="3" hidden="1" customWidth="1"/>
    <col min="68" max="68" width="12.5703125" style="156" hidden="1" customWidth="1"/>
    <col min="69" max="69" width="14" style="3" hidden="1" customWidth="1"/>
    <col min="70" max="71" width="14" style="1" hidden="1" customWidth="1"/>
    <col min="72" max="72" width="14" style="36" hidden="1" customWidth="1"/>
    <col min="73" max="73" width="14" style="88" hidden="1" customWidth="1"/>
    <col min="74" max="74" width="14" style="36" hidden="1" customWidth="1"/>
    <col min="75" max="75" width="14" style="3" hidden="1" customWidth="1"/>
    <col min="76" max="76" width="12.85546875" style="28" hidden="1" customWidth="1"/>
    <col min="77" max="77" width="14" style="3" hidden="1" customWidth="1"/>
    <col min="78" max="78" width="14" style="36" hidden="1" customWidth="1"/>
    <col min="79" max="79" width="14" style="3" hidden="1" customWidth="1"/>
    <col min="80" max="80" width="14" style="36" hidden="1" customWidth="1"/>
    <col min="81" max="81" width="14" style="3" hidden="1" customWidth="1"/>
    <col min="82" max="82" width="14" style="1" hidden="1" customWidth="1"/>
    <col min="83" max="83" width="14" style="3" hidden="1" customWidth="1"/>
    <col min="84" max="84" width="14" style="36" hidden="1" customWidth="1"/>
    <col min="85" max="85" width="14" style="3" hidden="1" customWidth="1"/>
    <col min="86" max="86" width="12.42578125" style="36" hidden="1" customWidth="1"/>
    <col min="87" max="87" width="14" style="3" hidden="1" customWidth="1"/>
    <col min="88" max="88" width="10.5703125" style="36" hidden="1" customWidth="1"/>
    <col min="89" max="89" width="14" style="3" hidden="1" customWidth="1"/>
    <col min="90" max="90" width="14" style="28" hidden="1" customWidth="1"/>
    <col min="91" max="91" width="14" style="3" hidden="1" customWidth="1"/>
    <col min="92" max="92" width="14" style="28" hidden="1" customWidth="1"/>
    <col min="93" max="93" width="14" style="3" hidden="1" customWidth="1"/>
    <col min="94" max="94" width="14" style="36" hidden="1" customWidth="1"/>
    <col min="95" max="95" width="14" style="3" hidden="1" customWidth="1"/>
    <col min="96" max="96" width="14" style="36" hidden="1" customWidth="1"/>
    <col min="97" max="97" width="14" style="3" hidden="1" customWidth="1"/>
    <col min="98" max="98" width="14" style="36" hidden="1" customWidth="1"/>
    <col min="99" max="99" width="14" style="3" hidden="1" customWidth="1"/>
    <col min="100" max="100" width="14" style="28" customWidth="1"/>
    <col min="101" max="101" width="13" style="3" customWidth="1"/>
    <col min="102" max="102" width="14" style="28" hidden="1" customWidth="1"/>
    <col min="103" max="103" width="14" style="3" hidden="1" customWidth="1"/>
    <col min="104" max="104" width="11.85546875" style="1" hidden="1" customWidth="1"/>
    <col min="105" max="105" width="12.85546875" style="3" hidden="1" customWidth="1"/>
    <col min="106" max="107" width="14" style="3" hidden="1" customWidth="1"/>
    <col min="108" max="108" width="14" style="1" hidden="1" customWidth="1"/>
    <col min="109" max="109" width="14" style="3" hidden="1" customWidth="1"/>
    <col min="110" max="110" width="14" style="36" customWidth="1"/>
    <col min="111" max="111" width="14" style="3" customWidth="1"/>
    <col min="112" max="112" width="10.85546875" style="28" customWidth="1"/>
    <col min="113" max="113" width="14.85546875" style="3" customWidth="1"/>
    <col min="114" max="114" width="9.140625" style="1" hidden="1" customWidth="1"/>
    <col min="115" max="115" width="12" style="1" hidden="1" customWidth="1"/>
    <col min="116" max="116" width="1.85546875" style="1" hidden="1" customWidth="1"/>
    <col min="117" max="16384" width="9.140625" style="1"/>
  </cols>
  <sheetData>
    <row r="1" spans="1:115" ht="15.75" customHeight="1" x14ac:dyDescent="0.25">
      <c r="A1" s="389" t="s">
        <v>0</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row>
    <row r="2" spans="1:115" ht="18.75" x14ac:dyDescent="0.25">
      <c r="A2" s="353" t="s">
        <v>231</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row>
    <row r="3" spans="1:115" ht="18.75" hidden="1" x14ac:dyDescent="0.25">
      <c r="A3" s="286" t="s">
        <v>83</v>
      </c>
      <c r="B3" s="286"/>
      <c r="C3" s="286"/>
      <c r="D3" s="286"/>
      <c r="E3" s="286"/>
      <c r="F3" s="353">
        <v>704</v>
      </c>
      <c r="G3" s="353"/>
      <c r="H3" s="353">
        <v>704</v>
      </c>
      <c r="I3" s="353"/>
      <c r="J3" s="353">
        <f>H3</f>
        <v>704</v>
      </c>
      <c r="K3" s="353"/>
      <c r="L3" s="353">
        <v>704</v>
      </c>
      <c r="M3" s="353"/>
      <c r="N3" s="343">
        <f>L3</f>
        <v>704</v>
      </c>
      <c r="O3" s="343"/>
      <c r="P3" s="343">
        <f>N3</f>
        <v>704</v>
      </c>
      <c r="Q3" s="343"/>
      <c r="R3" s="343">
        <f>P3</f>
        <v>704</v>
      </c>
      <c r="S3" s="343"/>
      <c r="T3" s="343">
        <f>R3</f>
        <v>704</v>
      </c>
      <c r="U3" s="343"/>
      <c r="V3" s="343">
        <f>T3</f>
        <v>704</v>
      </c>
      <c r="W3" s="343"/>
      <c r="X3" s="353">
        <v>704</v>
      </c>
      <c r="Y3" s="353"/>
      <c r="Z3" s="353">
        <v>704</v>
      </c>
      <c r="AA3" s="353"/>
      <c r="AB3" s="370">
        <v>813</v>
      </c>
      <c r="AC3" s="370"/>
      <c r="AD3" s="370">
        <f>AB3</f>
        <v>813</v>
      </c>
      <c r="AE3" s="370"/>
      <c r="AF3" s="370">
        <v>813</v>
      </c>
      <c r="AG3" s="370"/>
      <c r="AH3" s="370">
        <f>AF3</f>
        <v>813</v>
      </c>
      <c r="AI3" s="370"/>
      <c r="AJ3" s="370">
        <v>813</v>
      </c>
      <c r="AK3" s="370"/>
      <c r="AL3" s="343">
        <v>813</v>
      </c>
      <c r="AM3" s="343"/>
      <c r="AN3" s="370">
        <v>813</v>
      </c>
      <c r="AO3" s="370"/>
      <c r="AP3" s="370">
        <v>813</v>
      </c>
      <c r="AQ3" s="370"/>
      <c r="AR3" s="370">
        <v>813</v>
      </c>
      <c r="AS3" s="370"/>
      <c r="AT3" s="343">
        <v>813</v>
      </c>
      <c r="AU3" s="343"/>
      <c r="AV3" s="343">
        <v>607</v>
      </c>
      <c r="AW3" s="343"/>
      <c r="AX3" s="343">
        <v>607</v>
      </c>
      <c r="AY3" s="343"/>
      <c r="AZ3" s="343">
        <v>607</v>
      </c>
      <c r="BA3" s="343"/>
      <c r="BB3" s="343">
        <v>607</v>
      </c>
      <c r="BC3" s="343"/>
      <c r="BD3" s="343">
        <v>607</v>
      </c>
      <c r="BE3" s="343"/>
      <c r="BF3" s="343">
        <v>607</v>
      </c>
      <c r="BG3" s="343"/>
      <c r="BH3" s="343">
        <v>607</v>
      </c>
      <c r="BI3" s="343"/>
      <c r="BJ3" s="343">
        <v>607</v>
      </c>
      <c r="BK3" s="343"/>
      <c r="BL3" s="343">
        <v>607</v>
      </c>
      <c r="BM3" s="343"/>
      <c r="BN3" s="343">
        <v>607</v>
      </c>
      <c r="BO3" s="343"/>
      <c r="BP3" s="411">
        <v>607</v>
      </c>
      <c r="BQ3" s="411"/>
      <c r="BR3" s="411">
        <v>607</v>
      </c>
      <c r="BS3" s="411"/>
      <c r="BT3" s="343">
        <v>607</v>
      </c>
      <c r="BU3" s="343"/>
      <c r="BV3" s="343">
        <v>607</v>
      </c>
      <c r="BW3" s="343"/>
      <c r="BX3" s="343">
        <v>607</v>
      </c>
      <c r="BY3" s="343"/>
      <c r="BZ3" s="343">
        <v>607</v>
      </c>
      <c r="CA3" s="343"/>
      <c r="CB3" s="343">
        <v>607</v>
      </c>
      <c r="CC3" s="343"/>
      <c r="CD3" s="343">
        <v>607</v>
      </c>
      <c r="CE3" s="343"/>
      <c r="CF3" s="370">
        <v>607</v>
      </c>
      <c r="CG3" s="370"/>
      <c r="CH3" s="348">
        <v>607</v>
      </c>
      <c r="CI3" s="348"/>
      <c r="CJ3" s="343">
        <v>607</v>
      </c>
      <c r="CK3" s="343"/>
      <c r="CL3" s="343">
        <v>607</v>
      </c>
      <c r="CM3" s="343"/>
      <c r="CN3" s="343">
        <v>607</v>
      </c>
      <c r="CO3" s="343"/>
      <c r="CP3" s="343">
        <v>607</v>
      </c>
      <c r="CQ3" s="343"/>
      <c r="CR3" s="343">
        <v>607</v>
      </c>
      <c r="CS3" s="343"/>
      <c r="CT3" s="343">
        <v>607</v>
      </c>
      <c r="CU3" s="343"/>
      <c r="CV3" s="343">
        <f>CT3</f>
        <v>607</v>
      </c>
      <c r="CW3" s="343"/>
      <c r="CX3" s="281"/>
      <c r="CY3" s="281"/>
      <c r="CZ3" s="281"/>
      <c r="DA3" s="281"/>
      <c r="DB3" s="281"/>
      <c r="DC3" s="281"/>
      <c r="DD3" s="281"/>
      <c r="DE3" s="281"/>
      <c r="DF3" s="374">
        <v>1284250.8500000001</v>
      </c>
      <c r="DG3" s="374"/>
      <c r="DH3" s="286"/>
      <c r="DI3" s="286"/>
    </row>
    <row r="4" spans="1:115" ht="28.5" hidden="1" customHeight="1" x14ac:dyDescent="0.25">
      <c r="A4" s="264" t="s">
        <v>232</v>
      </c>
      <c r="B4" s="367">
        <f>480-B6+B15</f>
        <v>474</v>
      </c>
      <c r="C4" s="367"/>
      <c r="D4" s="366">
        <f>B4-D6+D15</f>
        <v>471</v>
      </c>
      <c r="E4" s="366"/>
      <c r="F4" s="366">
        <f>D4+F15-F6</f>
        <v>472</v>
      </c>
      <c r="G4" s="366"/>
      <c r="H4" s="366">
        <f>F4-H6+H15</f>
        <v>474</v>
      </c>
      <c r="I4" s="366"/>
      <c r="J4" s="366">
        <f>H4-J6+J15</f>
        <v>480</v>
      </c>
      <c r="K4" s="366"/>
      <c r="L4" s="364">
        <f>J4+L15-L6</f>
        <v>485</v>
      </c>
      <c r="M4" s="364"/>
      <c r="N4" s="364">
        <f>L4-N6+N15</f>
        <v>486</v>
      </c>
      <c r="O4" s="364"/>
      <c r="P4" s="364">
        <f>N4-P6+P15</f>
        <v>495</v>
      </c>
      <c r="Q4" s="364"/>
      <c r="R4" s="364">
        <f>P4-R6+R15</f>
        <v>500</v>
      </c>
      <c r="S4" s="364"/>
      <c r="T4" s="364">
        <f>R4-T6+T15</f>
        <v>508</v>
      </c>
      <c r="U4" s="364"/>
      <c r="V4" s="366">
        <f>T4-V6+V15</f>
        <v>522</v>
      </c>
      <c r="W4" s="366"/>
      <c r="X4" s="366">
        <f>V4+X15-X6</f>
        <v>522</v>
      </c>
      <c r="Y4" s="366"/>
      <c r="Z4" s="364">
        <f>X4-Z6+Z15</f>
        <v>529</v>
      </c>
      <c r="AA4" s="364"/>
      <c r="AB4" s="364">
        <f>Z4+AB15-AB6</f>
        <v>533</v>
      </c>
      <c r="AC4" s="364"/>
      <c r="AD4" s="365">
        <f>AB4-AD6+AD15</f>
        <v>540</v>
      </c>
      <c r="AE4" s="365"/>
      <c r="AF4" s="365">
        <f>AD4-AF6+AF15</f>
        <v>538</v>
      </c>
      <c r="AG4" s="365"/>
      <c r="AH4" s="348">
        <f>AF4-AH6+AH15</f>
        <v>543</v>
      </c>
      <c r="AI4" s="348"/>
      <c r="AJ4" s="348">
        <v>547</v>
      </c>
      <c r="AK4" s="348"/>
      <c r="AL4" s="348">
        <f>AJ4+AL15-AL6</f>
        <v>556</v>
      </c>
      <c r="AM4" s="348"/>
      <c r="AN4" s="348">
        <f>556-AN6+AN15</f>
        <v>564</v>
      </c>
      <c r="AO4" s="348"/>
      <c r="AP4" s="348">
        <f>AN4+AP15-AP6</f>
        <v>573</v>
      </c>
      <c r="AQ4" s="348"/>
      <c r="AR4" s="407">
        <f>AP4-AR6+AR15</f>
        <v>577</v>
      </c>
      <c r="AS4" s="407"/>
      <c r="AT4" s="348">
        <f>577+AT15-AT6</f>
        <v>585</v>
      </c>
      <c r="AU4" s="348"/>
      <c r="AV4" s="348">
        <f>585+AV15-AV6</f>
        <v>590</v>
      </c>
      <c r="AW4" s="348"/>
      <c r="AX4" s="348">
        <f>590+AX15-AX6</f>
        <v>604</v>
      </c>
      <c r="AY4" s="348"/>
      <c r="AZ4" s="348">
        <f>604+AZ15-AZ6</f>
        <v>610</v>
      </c>
      <c r="BA4" s="348"/>
      <c r="BB4" s="348">
        <f>610+BB15-BB6</f>
        <v>616</v>
      </c>
      <c r="BC4" s="348"/>
      <c r="BD4" s="348">
        <f>610+BD15-BD6</f>
        <v>617</v>
      </c>
      <c r="BE4" s="348"/>
      <c r="BF4" s="348">
        <f>617+BF15-BF6</f>
        <v>619</v>
      </c>
      <c r="BG4" s="348"/>
      <c r="BH4" s="348">
        <f>BF4+BH15-BH6</f>
        <v>621</v>
      </c>
      <c r="BI4" s="348"/>
      <c r="BJ4" s="348">
        <f>BH4+BJ15-BJ6</f>
        <v>626</v>
      </c>
      <c r="BK4" s="348"/>
      <c r="BL4" s="348">
        <f>BJ4+BL15-BL6</f>
        <v>629</v>
      </c>
      <c r="BM4" s="348"/>
      <c r="BN4" s="371">
        <f>BL4-BN6+BN15</f>
        <v>631</v>
      </c>
      <c r="BO4" s="371"/>
      <c r="BP4" s="358">
        <f>BN4-BP6+BP15</f>
        <v>633</v>
      </c>
      <c r="BQ4" s="358"/>
      <c r="BR4" s="371">
        <f>BP4-BR6+BR15</f>
        <v>631</v>
      </c>
      <c r="BS4" s="371"/>
      <c r="BT4" s="348">
        <f>BR4-BT6+BT15</f>
        <v>637</v>
      </c>
      <c r="BU4" s="348"/>
      <c r="BV4" s="348">
        <f>BT4-BV6+BV15</f>
        <v>639</v>
      </c>
      <c r="BW4" s="348"/>
      <c r="BX4" s="365">
        <f>BV4-BX6+BX15</f>
        <v>644</v>
      </c>
      <c r="BY4" s="365"/>
      <c r="BZ4" s="348">
        <f>BX4+BZ15-BZ6</f>
        <v>645</v>
      </c>
      <c r="CA4" s="348"/>
      <c r="CB4" s="348">
        <f>BZ4-CB6+CB15</f>
        <v>650</v>
      </c>
      <c r="CC4" s="348"/>
      <c r="CD4" s="348">
        <f>CB4+CD15-CD6</f>
        <v>645</v>
      </c>
      <c r="CE4" s="348"/>
      <c r="CF4" s="348">
        <f>CD4+CF15-CF6</f>
        <v>646</v>
      </c>
      <c r="CG4" s="348"/>
      <c r="CH4" s="348">
        <f>CF4+CH15-CH6</f>
        <v>648</v>
      </c>
      <c r="CI4" s="348"/>
      <c r="CJ4" s="348">
        <f>CH4+CJ15-CJ6</f>
        <v>655</v>
      </c>
      <c r="CK4" s="348"/>
      <c r="CL4" s="348">
        <f>CJ4-CL6+CL15</f>
        <v>664</v>
      </c>
      <c r="CM4" s="348"/>
      <c r="CN4" s="348">
        <f>CL4-CN6+CN15</f>
        <v>664</v>
      </c>
      <c r="CO4" s="348"/>
      <c r="CP4" s="348">
        <f>CN4-CP6+CP15</f>
        <v>667</v>
      </c>
      <c r="CQ4" s="348"/>
      <c r="CR4" s="348">
        <f>CP4-CR6+CR15</f>
        <v>672</v>
      </c>
      <c r="CS4" s="348"/>
      <c r="CT4" s="348">
        <f>CR4+CT15-CT6</f>
        <v>681</v>
      </c>
      <c r="CU4" s="348"/>
      <c r="CV4" s="348">
        <f>CT4</f>
        <v>681</v>
      </c>
      <c r="CW4" s="348"/>
      <c r="CX4" s="348">
        <v>472</v>
      </c>
      <c r="CY4" s="348"/>
      <c r="CZ4" s="343">
        <v>482</v>
      </c>
      <c r="DA4" s="343"/>
      <c r="DB4" s="281"/>
      <c r="DC4" s="281"/>
      <c r="DD4" s="281"/>
      <c r="DE4" s="281"/>
      <c r="DF4" s="404">
        <f>963105+CU15</f>
        <v>986055</v>
      </c>
      <c r="DG4" s="404"/>
      <c r="DH4" s="406"/>
      <c r="DI4" s="406"/>
    </row>
    <row r="5" spans="1:115" ht="22.5" hidden="1" customHeight="1" x14ac:dyDescent="0.25">
      <c r="A5" s="288" t="s">
        <v>84</v>
      </c>
      <c r="B5" s="288"/>
      <c r="C5" s="288"/>
      <c r="D5" s="287"/>
      <c r="E5" s="288"/>
      <c r="F5" s="363">
        <f>F4/F3</f>
        <v>0.67045454545454541</v>
      </c>
      <c r="G5" s="363"/>
      <c r="H5" s="363">
        <f>H4/H3</f>
        <v>0.67329545454545459</v>
      </c>
      <c r="I5" s="363"/>
      <c r="J5" s="363">
        <f>J4/J3</f>
        <v>0.68181818181818177</v>
      </c>
      <c r="K5" s="363"/>
      <c r="L5" s="363">
        <f>L4/L3</f>
        <v>0.68892045454545459</v>
      </c>
      <c r="M5" s="363"/>
      <c r="N5" s="363">
        <f>N4/N3</f>
        <v>0.69034090909090906</v>
      </c>
      <c r="O5" s="363"/>
      <c r="P5" s="363">
        <f>P4/P3</f>
        <v>0.703125</v>
      </c>
      <c r="Q5" s="363"/>
      <c r="R5" s="363">
        <f>R4/R3</f>
        <v>0.71022727272727271</v>
      </c>
      <c r="S5" s="363"/>
      <c r="T5" s="363">
        <f>T4/T3</f>
        <v>0.72159090909090906</v>
      </c>
      <c r="U5" s="363"/>
      <c r="V5" s="363">
        <f>V4/V3</f>
        <v>0.74147727272727271</v>
      </c>
      <c r="W5" s="363"/>
      <c r="X5" s="363">
        <f>X4/X3</f>
        <v>0.74147727272727271</v>
      </c>
      <c r="Y5" s="363"/>
      <c r="Z5" s="363">
        <f>Z4/Z3</f>
        <v>0.75142045454545459</v>
      </c>
      <c r="AA5" s="363"/>
      <c r="AB5" s="363">
        <f>AB4/AB3</f>
        <v>0.65559655596555966</v>
      </c>
      <c r="AC5" s="363"/>
      <c r="AD5" s="363">
        <f>AD4/AD3</f>
        <v>0.66420664206642066</v>
      </c>
      <c r="AE5" s="363"/>
      <c r="AF5" s="363">
        <f>AF4/AD3</f>
        <v>0.66174661746617469</v>
      </c>
      <c r="AG5" s="363"/>
      <c r="AH5" s="363">
        <f>AH4/AH3</f>
        <v>0.66789667896678961</v>
      </c>
      <c r="AI5" s="363"/>
      <c r="AJ5" s="363">
        <f>AJ4/AJ3</f>
        <v>0.67281672816728166</v>
      </c>
      <c r="AK5" s="363"/>
      <c r="AL5" s="363">
        <f>AL4/AL3</f>
        <v>0.68388683886838864</v>
      </c>
      <c r="AM5" s="363"/>
      <c r="AN5" s="363">
        <f>AN4/AN3</f>
        <v>0.69372693726937273</v>
      </c>
      <c r="AO5" s="363"/>
      <c r="AP5" s="363">
        <f>AP4/AP3</f>
        <v>0.70479704797047971</v>
      </c>
      <c r="AQ5" s="363"/>
      <c r="AR5" s="363">
        <f>AR4/AR3</f>
        <v>0.70971709717097176</v>
      </c>
      <c r="AS5" s="363"/>
      <c r="AT5" s="363">
        <f>AT4/AT3</f>
        <v>0.71955719557195574</v>
      </c>
      <c r="AU5" s="363"/>
      <c r="AV5" s="363">
        <f>AV4/AV3</f>
        <v>0.97199341021416807</v>
      </c>
      <c r="AW5" s="363"/>
      <c r="AX5" s="408">
        <f>AX4/AX3</f>
        <v>0.99505766062602963</v>
      </c>
      <c r="AY5" s="408"/>
      <c r="AZ5" s="408">
        <f>AZ4/AZ3</f>
        <v>1.0049423393739703</v>
      </c>
      <c r="BA5" s="408"/>
      <c r="BB5" s="408">
        <f>BB4/BB3</f>
        <v>1.014827018121911</v>
      </c>
      <c r="BC5" s="408"/>
      <c r="BD5" s="408">
        <f>BD4/BD3</f>
        <v>1.0164744645799011</v>
      </c>
      <c r="BE5" s="408"/>
      <c r="BF5" s="282"/>
      <c r="BG5" s="282"/>
      <c r="BH5" s="282"/>
      <c r="BI5" s="282"/>
      <c r="BJ5" s="282"/>
      <c r="BK5" s="282"/>
      <c r="BL5" s="282"/>
      <c r="BM5" s="282"/>
      <c r="BN5" s="283"/>
      <c r="BO5" s="236"/>
      <c r="BP5" s="281"/>
      <c r="BQ5" s="281"/>
      <c r="BR5" s="281"/>
      <c r="BS5" s="281"/>
      <c r="BT5" s="282"/>
      <c r="BU5" s="282"/>
      <c r="BV5" s="282"/>
      <c r="BW5" s="282"/>
      <c r="BX5" s="284"/>
      <c r="BY5" s="284"/>
      <c r="BZ5" s="282"/>
      <c r="CA5" s="282"/>
      <c r="CB5" s="282"/>
      <c r="CC5" s="282"/>
      <c r="CD5" s="282"/>
      <c r="CE5" s="282"/>
      <c r="CF5" s="282"/>
      <c r="CG5" s="282"/>
      <c r="CH5" s="282"/>
      <c r="CI5" s="282"/>
      <c r="CJ5" s="282"/>
      <c r="CK5" s="282"/>
      <c r="CL5" s="282"/>
      <c r="CM5" s="282"/>
      <c r="CN5" s="282"/>
      <c r="CO5" s="282"/>
      <c r="CP5" s="320"/>
      <c r="CQ5" s="282"/>
      <c r="CR5" s="282"/>
      <c r="CS5" s="282"/>
      <c r="CT5" s="282"/>
      <c r="CU5" s="282"/>
      <c r="CV5" s="338"/>
      <c r="CW5" s="339"/>
      <c r="CX5" s="282"/>
      <c r="CY5" s="282"/>
      <c r="CZ5" s="281"/>
      <c r="DA5" s="281"/>
      <c r="DB5" s="281"/>
      <c r="DC5" s="281"/>
      <c r="DD5" s="281"/>
      <c r="DE5" s="281"/>
      <c r="DF5" s="405">
        <f>DF4/DF3</f>
        <v>0.76780560433345235</v>
      </c>
      <c r="DG5" s="405"/>
      <c r="DH5" s="285"/>
      <c r="DI5" s="285"/>
    </row>
    <row r="6" spans="1:115" ht="18.75" hidden="1" x14ac:dyDescent="0.25">
      <c r="A6" s="289" t="s">
        <v>233</v>
      </c>
      <c r="B6" s="290">
        <v>14</v>
      </c>
      <c r="C6" s="158"/>
      <c r="D6" s="202">
        <v>6</v>
      </c>
      <c r="E6" s="158"/>
      <c r="F6" s="180">
        <v>5</v>
      </c>
      <c r="G6" s="158"/>
      <c r="H6" s="180">
        <v>5</v>
      </c>
      <c r="I6" s="158"/>
      <c r="J6" s="180">
        <v>3</v>
      </c>
      <c r="K6" s="158"/>
      <c r="L6" s="180">
        <v>2</v>
      </c>
      <c r="M6" s="158"/>
      <c r="N6" s="180">
        <v>8</v>
      </c>
      <c r="O6" s="158"/>
      <c r="P6" s="180">
        <v>3</v>
      </c>
      <c r="Q6" s="158"/>
      <c r="R6" s="180">
        <v>5</v>
      </c>
      <c r="S6" s="158"/>
      <c r="T6" s="181">
        <v>4</v>
      </c>
      <c r="U6" s="158"/>
      <c r="V6" s="291">
        <v>5</v>
      </c>
      <c r="W6" s="158"/>
      <c r="X6" s="291">
        <v>13</v>
      </c>
      <c r="Y6" s="158"/>
      <c r="Z6" s="185">
        <v>5</v>
      </c>
      <c r="AA6" s="158"/>
      <c r="AB6" s="185">
        <v>7</v>
      </c>
      <c r="AC6" s="158"/>
      <c r="AD6" s="242">
        <v>2</v>
      </c>
      <c r="AE6" s="238"/>
      <c r="AF6" s="237">
        <v>7</v>
      </c>
      <c r="AG6" s="238"/>
      <c r="AH6" s="237">
        <v>4</v>
      </c>
      <c r="AI6" s="238"/>
      <c r="AJ6" s="237">
        <v>14</v>
      </c>
      <c r="AK6" s="238"/>
      <c r="AL6" s="292">
        <v>5</v>
      </c>
      <c r="AM6" s="292"/>
      <c r="AN6" s="237">
        <v>2</v>
      </c>
      <c r="AO6" s="238"/>
      <c r="AP6" s="237">
        <v>4</v>
      </c>
      <c r="AQ6" s="238"/>
      <c r="AR6" s="237">
        <v>6</v>
      </c>
      <c r="AS6" s="238"/>
      <c r="AT6" s="237">
        <v>1</v>
      </c>
      <c r="AU6" s="238"/>
      <c r="AV6" s="239">
        <v>2</v>
      </c>
      <c r="AW6" s="238"/>
      <c r="AX6" s="237">
        <v>2</v>
      </c>
      <c r="AY6" s="238"/>
      <c r="AZ6" s="237">
        <v>2</v>
      </c>
      <c r="BA6" s="238"/>
      <c r="BB6" s="237">
        <v>7</v>
      </c>
      <c r="BC6" s="238"/>
      <c r="BD6" s="237">
        <v>5</v>
      </c>
      <c r="BE6" s="238"/>
      <c r="BF6" s="237">
        <v>9</v>
      </c>
      <c r="BG6" s="238"/>
      <c r="BH6" s="237">
        <v>7</v>
      </c>
      <c r="BI6" s="238"/>
      <c r="BJ6" s="237">
        <v>5</v>
      </c>
      <c r="BK6" s="238"/>
      <c r="BL6" s="237">
        <v>5</v>
      </c>
      <c r="BM6" s="238"/>
      <c r="BN6" s="239">
        <v>3</v>
      </c>
      <c r="BO6" s="238"/>
      <c r="BP6" s="240">
        <v>5</v>
      </c>
      <c r="BQ6" s="238"/>
      <c r="BR6" s="241">
        <v>7</v>
      </c>
      <c r="BS6" s="241"/>
      <c r="BT6" s="237">
        <v>5</v>
      </c>
      <c r="BU6" s="238"/>
      <c r="BV6" s="237">
        <v>4</v>
      </c>
      <c r="BW6" s="238"/>
      <c r="BX6" s="242">
        <v>2</v>
      </c>
      <c r="BY6" s="238"/>
      <c r="BZ6" s="237">
        <v>5</v>
      </c>
      <c r="CA6" s="238"/>
      <c r="CB6" s="237">
        <v>4</v>
      </c>
      <c r="CC6" s="238"/>
      <c r="CD6" s="241">
        <v>8</v>
      </c>
      <c r="CE6" s="238"/>
      <c r="CF6" s="237">
        <v>6</v>
      </c>
      <c r="CG6" s="238"/>
      <c r="CH6" s="237">
        <v>4</v>
      </c>
      <c r="CI6" s="238"/>
      <c r="CJ6" s="237">
        <v>1</v>
      </c>
      <c r="CK6" s="238"/>
      <c r="CL6" s="242">
        <v>2</v>
      </c>
      <c r="CM6" s="238"/>
      <c r="CN6" s="242">
        <v>5</v>
      </c>
      <c r="CO6" s="238"/>
      <c r="CP6" s="237">
        <v>3</v>
      </c>
      <c r="CQ6" s="238"/>
      <c r="CR6" s="340">
        <v>4</v>
      </c>
      <c r="CS6" s="238"/>
      <c r="CT6" s="340">
        <v>5</v>
      </c>
      <c r="CU6" s="238"/>
      <c r="CV6" s="242">
        <f>CN6+CP6+CR6+CT6</f>
        <v>17</v>
      </c>
      <c r="CW6" s="238"/>
      <c r="CX6" s="242"/>
      <c r="CY6" s="238"/>
      <c r="CZ6" s="241"/>
      <c r="DA6" s="241"/>
      <c r="DB6" s="241"/>
      <c r="DC6" s="241"/>
      <c r="DD6" s="241"/>
      <c r="DE6" s="241"/>
      <c r="DF6" s="420" t="s">
        <v>212</v>
      </c>
      <c r="DG6" s="421"/>
      <c r="DH6" s="418" t="s">
        <v>61</v>
      </c>
      <c r="DI6" s="419"/>
    </row>
    <row r="7" spans="1:115" ht="18.75" hidden="1" x14ac:dyDescent="0.25">
      <c r="A7" s="241"/>
      <c r="B7" s="290"/>
      <c r="C7" s="158"/>
      <c r="D7" s="290"/>
      <c r="E7" s="158"/>
      <c r="F7" s="241"/>
      <c r="G7" s="241"/>
      <c r="H7" s="241"/>
      <c r="I7" s="241"/>
      <c r="J7" s="241"/>
      <c r="K7" s="241"/>
      <c r="L7" s="237"/>
      <c r="M7" s="238"/>
      <c r="N7" s="237"/>
      <c r="O7" s="238"/>
      <c r="P7" s="237"/>
      <c r="Q7" s="238"/>
      <c r="R7" s="237"/>
      <c r="S7" s="238"/>
      <c r="T7" s="293"/>
      <c r="U7" s="294"/>
      <c r="V7" s="295"/>
      <c r="W7" s="294"/>
      <c r="X7" s="295"/>
      <c r="Y7" s="294"/>
      <c r="Z7" s="237"/>
      <c r="AA7" s="238"/>
      <c r="AB7" s="237"/>
      <c r="AC7" s="238"/>
      <c r="AD7" s="242"/>
      <c r="AE7" s="238"/>
      <c r="AF7" s="237"/>
      <c r="AG7" s="238"/>
      <c r="AH7" s="237"/>
      <c r="AI7" s="238"/>
      <c r="AJ7" s="296"/>
      <c r="AK7" s="297"/>
      <c r="AL7" s="296"/>
      <c r="AM7" s="297"/>
      <c r="AN7" s="237"/>
      <c r="AO7" s="238"/>
      <c r="AP7" s="237"/>
      <c r="AQ7" s="238"/>
      <c r="AR7" s="296"/>
      <c r="AS7" s="297"/>
      <c r="AT7" s="296"/>
      <c r="AU7" s="297"/>
      <c r="AV7" s="298"/>
      <c r="AW7" s="297"/>
      <c r="AX7" s="296"/>
      <c r="AY7" s="297"/>
      <c r="AZ7" s="237"/>
      <c r="BA7" s="238"/>
      <c r="BB7" s="237"/>
      <c r="BC7" s="238"/>
      <c r="BD7" s="237"/>
      <c r="BE7" s="294"/>
      <c r="BF7" s="299"/>
      <c r="BG7" s="294"/>
      <c r="BH7" s="299"/>
      <c r="BI7" s="294"/>
      <c r="BJ7" s="299"/>
      <c r="BK7" s="294"/>
      <c r="BL7" s="299"/>
      <c r="BM7" s="294"/>
      <c r="BN7" s="239"/>
      <c r="BO7" s="238"/>
      <c r="BP7" s="240"/>
      <c r="BQ7" s="238"/>
      <c r="BR7" s="241"/>
      <c r="BS7" s="241"/>
      <c r="BT7" s="237"/>
      <c r="BU7" s="238"/>
      <c r="BV7" s="237"/>
      <c r="BW7" s="238"/>
      <c r="BX7" s="242"/>
      <c r="BY7" s="238"/>
      <c r="BZ7" s="237"/>
      <c r="CA7" s="238"/>
      <c r="CB7" s="237"/>
      <c r="CC7" s="238"/>
      <c r="CD7" s="241"/>
      <c r="CE7" s="238"/>
      <c r="CF7" s="237"/>
      <c r="CG7" s="238"/>
      <c r="CH7" s="237"/>
      <c r="CI7" s="238"/>
      <c r="CJ7" s="237"/>
      <c r="CK7" s="238"/>
      <c r="CL7" s="242"/>
      <c r="CM7" s="238"/>
      <c r="CN7" s="242"/>
      <c r="CO7" s="238"/>
      <c r="CP7" s="237"/>
      <c r="CQ7" s="238"/>
      <c r="CR7" s="237"/>
      <c r="CS7" s="238"/>
      <c r="CT7" s="237"/>
      <c r="CU7" s="238"/>
      <c r="CV7" s="242"/>
      <c r="CW7" s="238"/>
      <c r="CX7" s="242"/>
      <c r="CY7" s="238"/>
      <c r="CZ7" s="148"/>
      <c r="DA7" s="148"/>
      <c r="DB7" s="148"/>
      <c r="DC7" s="148"/>
      <c r="DD7" s="148"/>
      <c r="DE7" s="148"/>
      <c r="DF7" s="280" t="s">
        <v>2</v>
      </c>
      <c r="DG7" s="150" t="s">
        <v>3</v>
      </c>
      <c r="DH7" s="159" t="s">
        <v>2</v>
      </c>
      <c r="DI7" s="145" t="s">
        <v>3</v>
      </c>
    </row>
    <row r="8" spans="1:115" ht="18.75" hidden="1" x14ac:dyDescent="0.25">
      <c r="A8" s="241"/>
      <c r="B8" s="346" t="s">
        <v>78</v>
      </c>
      <c r="C8" s="347"/>
      <c r="D8" s="346" t="s">
        <v>78</v>
      </c>
      <c r="E8" s="347"/>
      <c r="F8" s="346" t="s">
        <v>78</v>
      </c>
      <c r="G8" s="347"/>
      <c r="H8" s="346" t="s">
        <v>85</v>
      </c>
      <c r="I8" s="347"/>
      <c r="J8" s="346" t="s">
        <v>85</v>
      </c>
      <c r="K8" s="347"/>
      <c r="L8" s="346" t="s">
        <v>85</v>
      </c>
      <c r="M8" s="347"/>
      <c r="N8" s="346" t="s">
        <v>85</v>
      </c>
      <c r="O8" s="347"/>
      <c r="P8" s="346" t="s">
        <v>95</v>
      </c>
      <c r="Q8" s="347"/>
      <c r="R8" s="346" t="s">
        <v>95</v>
      </c>
      <c r="S8" s="347"/>
      <c r="T8" s="346" t="s">
        <v>95</v>
      </c>
      <c r="U8" s="347"/>
      <c r="V8" s="346" t="s">
        <v>95</v>
      </c>
      <c r="W8" s="347"/>
      <c r="X8" s="346" t="s">
        <v>107</v>
      </c>
      <c r="Y8" s="347"/>
      <c r="Z8" s="346" t="s">
        <v>107</v>
      </c>
      <c r="AA8" s="347"/>
      <c r="AB8" s="346" t="s">
        <v>107</v>
      </c>
      <c r="AC8" s="347"/>
      <c r="AD8" s="346" t="s">
        <v>107</v>
      </c>
      <c r="AE8" s="347"/>
      <c r="AF8" s="346" t="s">
        <v>124</v>
      </c>
      <c r="AG8" s="347"/>
      <c r="AH8" s="346" t="s">
        <v>124</v>
      </c>
      <c r="AI8" s="347"/>
      <c r="AJ8" s="346" t="s">
        <v>124</v>
      </c>
      <c r="AK8" s="347"/>
      <c r="AL8" s="346" t="s">
        <v>124</v>
      </c>
      <c r="AM8" s="347"/>
      <c r="AN8" s="346" t="s">
        <v>137</v>
      </c>
      <c r="AO8" s="347"/>
      <c r="AP8" s="346" t="s">
        <v>137</v>
      </c>
      <c r="AQ8" s="347"/>
      <c r="AR8" s="346" t="s">
        <v>137</v>
      </c>
      <c r="AS8" s="347"/>
      <c r="AT8" s="346" t="s">
        <v>137</v>
      </c>
      <c r="AU8" s="347"/>
      <c r="AV8" s="346" t="s">
        <v>68</v>
      </c>
      <c r="AW8" s="347"/>
      <c r="AX8" s="346" t="s">
        <v>68</v>
      </c>
      <c r="AY8" s="347"/>
      <c r="AZ8" s="346" t="s">
        <v>68</v>
      </c>
      <c r="BA8" s="347"/>
      <c r="BB8" s="346" t="s">
        <v>68</v>
      </c>
      <c r="BC8" s="347"/>
      <c r="BD8" s="346" t="s">
        <v>68</v>
      </c>
      <c r="BE8" s="347"/>
      <c r="BF8" s="346" t="s">
        <v>69</v>
      </c>
      <c r="BG8" s="347"/>
      <c r="BH8" s="346" t="s">
        <v>69</v>
      </c>
      <c r="BI8" s="347"/>
      <c r="BJ8" s="346" t="s">
        <v>69</v>
      </c>
      <c r="BK8" s="347"/>
      <c r="BL8" s="346" t="s">
        <v>69</v>
      </c>
      <c r="BM8" s="347"/>
      <c r="BN8" s="346" t="s">
        <v>70</v>
      </c>
      <c r="BO8" s="347"/>
      <c r="BP8" s="416" t="s">
        <v>70</v>
      </c>
      <c r="BQ8" s="417"/>
      <c r="BR8" s="346" t="s">
        <v>70</v>
      </c>
      <c r="BS8" s="347"/>
      <c r="BT8" s="346" t="s">
        <v>70</v>
      </c>
      <c r="BU8" s="347"/>
      <c r="BV8" s="346" t="s">
        <v>71</v>
      </c>
      <c r="BW8" s="347"/>
      <c r="BX8" s="346" t="s">
        <v>71</v>
      </c>
      <c r="BY8" s="347"/>
      <c r="BZ8" s="346" t="s">
        <v>71</v>
      </c>
      <c r="CA8" s="347"/>
      <c r="CB8" s="346" t="s">
        <v>71</v>
      </c>
      <c r="CC8" s="347"/>
      <c r="CD8" s="346" t="s">
        <v>71</v>
      </c>
      <c r="CE8" s="347"/>
      <c r="CF8" s="346" t="s">
        <v>72</v>
      </c>
      <c r="CG8" s="347"/>
      <c r="CH8" s="346" t="s">
        <v>72</v>
      </c>
      <c r="CI8" s="347"/>
      <c r="CJ8" s="414" t="s">
        <v>72</v>
      </c>
      <c r="CK8" s="415"/>
      <c r="CL8" s="346" t="s">
        <v>72</v>
      </c>
      <c r="CM8" s="347"/>
      <c r="CN8" s="346" t="s">
        <v>209</v>
      </c>
      <c r="CO8" s="347"/>
      <c r="CP8" s="346" t="s">
        <v>209</v>
      </c>
      <c r="CQ8" s="347"/>
      <c r="CR8" s="346" t="s">
        <v>209</v>
      </c>
      <c r="CS8" s="347"/>
      <c r="CT8" s="346" t="s">
        <v>209</v>
      </c>
      <c r="CU8" s="347"/>
      <c r="CV8" s="346" t="s">
        <v>209</v>
      </c>
      <c r="CW8" s="347"/>
      <c r="CX8" s="346" t="s">
        <v>73</v>
      </c>
      <c r="CY8" s="347"/>
      <c r="CZ8" s="161"/>
      <c r="DA8" s="147"/>
      <c r="DB8" s="158"/>
      <c r="DC8" s="158"/>
      <c r="DD8" s="148"/>
      <c r="DE8" s="148"/>
      <c r="DF8" s="149">
        <v>39</v>
      </c>
      <c r="DG8" s="150">
        <v>80075</v>
      </c>
      <c r="DH8" s="149">
        <v>315</v>
      </c>
      <c r="DI8" s="150">
        <v>642417</v>
      </c>
    </row>
    <row r="9" spans="1:115" ht="18.75" hidden="1" x14ac:dyDescent="0.25">
      <c r="A9" s="241"/>
      <c r="B9" s="346" t="s">
        <v>77</v>
      </c>
      <c r="C9" s="347"/>
      <c r="D9" s="346" t="s">
        <v>79</v>
      </c>
      <c r="E9" s="347"/>
      <c r="F9" s="346" t="s">
        <v>81</v>
      </c>
      <c r="G9" s="347"/>
      <c r="H9" s="346" t="s">
        <v>86</v>
      </c>
      <c r="I9" s="347"/>
      <c r="J9" s="346" t="s">
        <v>89</v>
      </c>
      <c r="K9" s="347"/>
      <c r="L9" s="346" t="s">
        <v>92</v>
      </c>
      <c r="M9" s="347"/>
      <c r="N9" s="346" t="s">
        <v>93</v>
      </c>
      <c r="O9" s="347"/>
      <c r="P9" s="346" t="s">
        <v>96</v>
      </c>
      <c r="Q9" s="347"/>
      <c r="R9" s="346" t="s">
        <v>99</v>
      </c>
      <c r="S9" s="347"/>
      <c r="T9" s="346" t="s">
        <v>101</v>
      </c>
      <c r="U9" s="347"/>
      <c r="V9" s="346" t="s">
        <v>105</v>
      </c>
      <c r="W9" s="347"/>
      <c r="X9" s="346" t="s">
        <v>108</v>
      </c>
      <c r="Y9" s="347"/>
      <c r="Z9" s="346" t="s">
        <v>111</v>
      </c>
      <c r="AA9" s="347"/>
      <c r="AB9" s="346" t="s">
        <v>114</v>
      </c>
      <c r="AC9" s="347"/>
      <c r="AD9" s="346" t="s">
        <v>121</v>
      </c>
      <c r="AE9" s="347"/>
      <c r="AF9" s="346" t="s">
        <v>125</v>
      </c>
      <c r="AG9" s="347"/>
      <c r="AH9" s="346" t="s">
        <v>127</v>
      </c>
      <c r="AI9" s="347"/>
      <c r="AJ9" s="346" t="s">
        <v>130</v>
      </c>
      <c r="AK9" s="347"/>
      <c r="AL9" s="346" t="s">
        <v>134</v>
      </c>
      <c r="AM9" s="347"/>
      <c r="AN9" s="346" t="s">
        <v>138</v>
      </c>
      <c r="AO9" s="347"/>
      <c r="AP9" s="346" t="s">
        <v>139</v>
      </c>
      <c r="AQ9" s="347"/>
      <c r="AR9" s="346" t="s">
        <v>142</v>
      </c>
      <c r="AS9" s="347"/>
      <c r="AT9" s="346" t="s">
        <v>145</v>
      </c>
      <c r="AU9" s="347"/>
      <c r="AV9" s="346" t="s">
        <v>148</v>
      </c>
      <c r="AW9" s="347"/>
      <c r="AX9" s="346" t="s">
        <v>149</v>
      </c>
      <c r="AY9" s="347"/>
      <c r="AZ9" s="346" t="s">
        <v>152</v>
      </c>
      <c r="BA9" s="347"/>
      <c r="BB9" s="346" t="s">
        <v>154</v>
      </c>
      <c r="BC9" s="347"/>
      <c r="BD9" s="346" t="s">
        <v>157</v>
      </c>
      <c r="BE9" s="347"/>
      <c r="BF9" s="346" t="s">
        <v>160</v>
      </c>
      <c r="BG9" s="347"/>
      <c r="BH9" s="346" t="s">
        <v>164</v>
      </c>
      <c r="BI9" s="347"/>
      <c r="BJ9" s="346" t="s">
        <v>166</v>
      </c>
      <c r="BK9" s="347"/>
      <c r="BL9" s="346" t="s">
        <v>167</v>
      </c>
      <c r="BM9" s="347"/>
      <c r="BN9" s="346" t="s">
        <v>169</v>
      </c>
      <c r="BO9" s="347"/>
      <c r="BP9" s="346" t="s">
        <v>176</v>
      </c>
      <c r="BQ9" s="347"/>
      <c r="BR9" s="346" t="s">
        <v>174</v>
      </c>
      <c r="BS9" s="347"/>
      <c r="BT9" s="346" t="s">
        <v>177</v>
      </c>
      <c r="BU9" s="347"/>
      <c r="BV9" s="346" t="s">
        <v>179</v>
      </c>
      <c r="BW9" s="347"/>
      <c r="BX9" s="346" t="s">
        <v>183</v>
      </c>
      <c r="BY9" s="347"/>
      <c r="BZ9" s="346" t="s">
        <v>186</v>
      </c>
      <c r="CA9" s="347"/>
      <c r="CB9" s="346" t="s">
        <v>187</v>
      </c>
      <c r="CC9" s="347"/>
      <c r="CD9" s="346" t="s">
        <v>194</v>
      </c>
      <c r="CE9" s="347"/>
      <c r="CF9" s="346" t="s">
        <v>195</v>
      </c>
      <c r="CG9" s="347"/>
      <c r="CH9" s="346" t="s">
        <v>199</v>
      </c>
      <c r="CI9" s="347"/>
      <c r="CJ9" s="414" t="s">
        <v>200</v>
      </c>
      <c r="CK9" s="415"/>
      <c r="CL9" s="346" t="s">
        <v>205</v>
      </c>
      <c r="CM9" s="347"/>
      <c r="CN9" s="346" t="s">
        <v>210</v>
      </c>
      <c r="CO9" s="347"/>
      <c r="CP9" s="346" t="s">
        <v>214</v>
      </c>
      <c r="CQ9" s="347"/>
      <c r="CR9" s="346" t="s">
        <v>223</v>
      </c>
      <c r="CS9" s="347"/>
      <c r="CT9" s="346" t="s">
        <v>227</v>
      </c>
      <c r="CU9" s="347"/>
      <c r="CV9" s="346" t="s">
        <v>235</v>
      </c>
      <c r="CW9" s="347"/>
      <c r="CX9" s="346" t="s">
        <v>74</v>
      </c>
      <c r="CY9" s="347"/>
      <c r="DB9" s="147"/>
      <c r="DC9" s="147"/>
      <c r="DD9" s="151"/>
      <c r="DE9" s="151"/>
      <c r="DF9" s="149">
        <f>CN15+CP15+CR15+CT15</f>
        <v>34</v>
      </c>
      <c r="DG9" s="150">
        <f>CO15+CQ15+CS15+CU15</f>
        <v>52640</v>
      </c>
      <c r="DH9" s="149">
        <f>DF15</f>
        <v>454</v>
      </c>
      <c r="DI9" s="150">
        <f>DG15</f>
        <v>885330</v>
      </c>
    </row>
    <row r="10" spans="1:115" ht="18.75" hidden="1" x14ac:dyDescent="0.25">
      <c r="A10" s="354" t="s">
        <v>62</v>
      </c>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296"/>
      <c r="AC10" s="297"/>
      <c r="AD10" s="300"/>
      <c r="AE10" s="297"/>
      <c r="AF10" s="296"/>
      <c r="AG10" s="297"/>
      <c r="AH10" s="296"/>
      <c r="AI10" s="297"/>
      <c r="AJ10" s="296"/>
      <c r="AK10" s="297"/>
      <c r="AL10" s="296"/>
      <c r="AM10" s="297"/>
      <c r="AN10" s="237"/>
      <c r="AO10" s="238"/>
      <c r="AP10" s="296"/>
      <c r="AQ10" s="297"/>
      <c r="AR10" s="296"/>
      <c r="AS10" s="297"/>
      <c r="AT10" s="296"/>
      <c r="AU10" s="297"/>
      <c r="AV10" s="298"/>
      <c r="AW10" s="297"/>
      <c r="AX10" s="296"/>
      <c r="AY10" s="297"/>
      <c r="AZ10" s="237"/>
      <c r="BA10" s="238"/>
      <c r="BB10" s="237"/>
      <c r="BC10" s="238"/>
      <c r="BD10" s="237"/>
      <c r="BE10" s="294"/>
      <c r="BF10" s="299"/>
      <c r="BG10" s="294"/>
      <c r="BH10" s="299"/>
      <c r="BI10" s="294"/>
      <c r="BJ10" s="299"/>
      <c r="BK10" s="294"/>
      <c r="BL10" s="299"/>
      <c r="BM10" s="294"/>
      <c r="BN10" s="239"/>
      <c r="BO10" s="238"/>
      <c r="BP10" s="240"/>
      <c r="BQ10" s="238"/>
      <c r="BR10" s="241"/>
      <c r="BS10" s="241"/>
      <c r="BT10" s="237"/>
      <c r="BU10" s="238"/>
      <c r="BV10" s="237"/>
      <c r="BW10" s="238"/>
      <c r="BX10" s="242"/>
      <c r="BY10" s="238"/>
      <c r="BZ10" s="237"/>
      <c r="CA10" s="238"/>
      <c r="CB10" s="237"/>
      <c r="CC10" s="238"/>
      <c r="CD10" s="241"/>
      <c r="CE10" s="238"/>
      <c r="CF10" s="237"/>
      <c r="CG10" s="238"/>
      <c r="CH10" s="135"/>
      <c r="CI10" s="136"/>
      <c r="CJ10" s="146"/>
      <c r="CK10" s="147"/>
      <c r="CL10" s="137"/>
      <c r="CM10" s="136"/>
      <c r="CN10" s="137"/>
      <c r="CO10" s="136"/>
      <c r="CP10" s="135"/>
      <c r="CQ10" s="136"/>
      <c r="CR10" s="135"/>
      <c r="CS10" s="136"/>
      <c r="CT10" s="135"/>
      <c r="CU10" s="136"/>
      <c r="CV10" s="137"/>
      <c r="CW10" s="136"/>
      <c r="CX10" s="137"/>
      <c r="CY10" s="136"/>
      <c r="CZ10" s="144"/>
      <c r="DA10" s="144"/>
      <c r="DB10" s="144"/>
      <c r="DC10" s="144"/>
      <c r="DD10" s="144"/>
      <c r="DE10" s="144"/>
      <c r="DF10" s="152">
        <f>DF9/DF8</f>
        <v>0.87179487179487181</v>
      </c>
      <c r="DG10" s="152">
        <f>DG9/DG8</f>
        <v>0.657383702778645</v>
      </c>
      <c r="DH10" s="152">
        <f>DH9/DH8</f>
        <v>1.4412698412698413</v>
      </c>
      <c r="DI10" s="152">
        <f>DI9/DI8</f>
        <v>1.3781235552608353</v>
      </c>
    </row>
    <row r="11" spans="1:115" ht="11.25" hidden="1" customHeight="1" x14ac:dyDescent="0.25">
      <c r="A11" s="301"/>
      <c r="B11" s="301"/>
      <c r="C11" s="302"/>
      <c r="D11" s="303"/>
      <c r="E11" s="302"/>
      <c r="F11" s="304"/>
      <c r="G11" s="302"/>
      <c r="H11" s="304"/>
      <c r="I11" s="302"/>
      <c r="J11" s="304"/>
      <c r="K11" s="302"/>
      <c r="L11" s="304"/>
      <c r="M11" s="302"/>
      <c r="N11" s="304"/>
      <c r="O11" s="302"/>
      <c r="P11" s="304"/>
      <c r="Q11" s="302"/>
      <c r="R11" s="304"/>
      <c r="S11" s="302"/>
      <c r="T11" s="305"/>
      <c r="U11" s="302"/>
      <c r="V11" s="306"/>
      <c r="W11" s="302"/>
      <c r="X11" s="306"/>
      <c r="Y11" s="302"/>
      <c r="Z11" s="304"/>
      <c r="AA11" s="302"/>
      <c r="AB11" s="304"/>
      <c r="AC11" s="302"/>
      <c r="AD11" s="300"/>
      <c r="AE11" s="297"/>
      <c r="AF11" s="296"/>
      <c r="AG11" s="297"/>
      <c r="AH11" s="296"/>
      <c r="AI11" s="297"/>
      <c r="AJ11" s="296"/>
      <c r="AK11" s="297"/>
      <c r="AL11" s="296"/>
      <c r="AM11" s="297"/>
      <c r="AN11" s="237"/>
      <c r="AO11" s="238"/>
      <c r="AP11" s="296"/>
      <c r="AQ11" s="297"/>
      <c r="AR11" s="296"/>
      <c r="AS11" s="297"/>
      <c r="AT11" s="296"/>
      <c r="AU11" s="297"/>
      <c r="AV11" s="298"/>
      <c r="AW11" s="297"/>
      <c r="AX11" s="296"/>
      <c r="AY11" s="297"/>
      <c r="AZ11" s="296"/>
      <c r="BA11" s="297"/>
      <c r="BB11" s="296"/>
      <c r="BC11" s="297"/>
      <c r="BD11" s="296"/>
      <c r="BE11" s="297"/>
      <c r="BF11" s="296"/>
      <c r="BG11" s="297"/>
      <c r="BH11" s="296"/>
      <c r="BI11" s="297"/>
      <c r="BJ11" s="296"/>
      <c r="BK11" s="297"/>
      <c r="BL11" s="296"/>
      <c r="BM11" s="297"/>
      <c r="BN11" s="298"/>
      <c r="BO11" s="297"/>
      <c r="BP11" s="307"/>
      <c r="BQ11" s="297"/>
      <c r="BR11" s="308"/>
      <c r="BS11" s="308"/>
      <c r="BT11" s="296"/>
      <c r="BU11" s="297"/>
      <c r="BV11" s="296"/>
      <c r="BW11" s="297"/>
      <c r="BX11" s="300"/>
      <c r="BY11" s="297"/>
      <c r="BZ11" s="296"/>
      <c r="CA11" s="297"/>
      <c r="CB11" s="296"/>
      <c r="CC11" s="297"/>
      <c r="CD11" s="308"/>
      <c r="CE11" s="297"/>
      <c r="CF11" s="296"/>
      <c r="CG11" s="297"/>
      <c r="CH11" s="135"/>
      <c r="CI11" s="136"/>
      <c r="CJ11" s="135"/>
      <c r="CK11" s="136"/>
      <c r="CL11" s="137"/>
      <c r="CM11" s="136"/>
      <c r="CN11" s="137"/>
      <c r="CO11" s="136"/>
      <c r="CP11" s="135"/>
      <c r="CQ11" s="136"/>
      <c r="CR11" s="135"/>
      <c r="CS11" s="136"/>
      <c r="CT11" s="135"/>
      <c r="CU11" s="136"/>
      <c r="CV11" s="137"/>
      <c r="CW11" s="136"/>
      <c r="CX11" s="137"/>
      <c r="CY11" s="136"/>
      <c r="CZ11" s="138"/>
      <c r="DA11" s="138"/>
      <c r="DB11" s="138"/>
      <c r="DC11" s="138"/>
      <c r="DD11" s="138"/>
      <c r="DE11" s="138"/>
      <c r="DF11" s="138"/>
      <c r="DG11" s="136"/>
      <c r="DH11" s="84"/>
      <c r="DI11" s="59"/>
    </row>
    <row r="12" spans="1:115" hidden="1" x14ac:dyDescent="0.25">
      <c r="A12" s="309" t="s">
        <v>58</v>
      </c>
      <c r="B12" s="356">
        <v>1</v>
      </c>
      <c r="C12" s="357"/>
      <c r="D12" s="356">
        <v>2</v>
      </c>
      <c r="E12" s="357"/>
      <c r="F12" s="356">
        <v>3</v>
      </c>
      <c r="G12" s="357"/>
      <c r="H12" s="356">
        <v>4</v>
      </c>
      <c r="I12" s="357"/>
      <c r="J12" s="356">
        <v>5</v>
      </c>
      <c r="K12" s="357"/>
      <c r="L12" s="356">
        <v>6</v>
      </c>
      <c r="M12" s="357"/>
      <c r="N12" s="356">
        <v>7</v>
      </c>
      <c r="O12" s="357"/>
      <c r="P12" s="356">
        <v>8</v>
      </c>
      <c r="Q12" s="357"/>
      <c r="R12" s="356">
        <v>9</v>
      </c>
      <c r="S12" s="357"/>
      <c r="T12" s="356">
        <v>10</v>
      </c>
      <c r="U12" s="357"/>
      <c r="V12" s="356">
        <v>11</v>
      </c>
      <c r="W12" s="357"/>
      <c r="X12" s="356">
        <v>12</v>
      </c>
      <c r="Y12" s="357"/>
      <c r="Z12" s="356">
        <v>13</v>
      </c>
      <c r="AA12" s="357"/>
      <c r="AB12" s="356">
        <v>14</v>
      </c>
      <c r="AC12" s="357"/>
      <c r="AD12" s="356">
        <v>15</v>
      </c>
      <c r="AE12" s="357"/>
      <c r="AF12" s="356">
        <v>16</v>
      </c>
      <c r="AG12" s="357"/>
      <c r="AH12" s="356">
        <v>17</v>
      </c>
      <c r="AI12" s="357"/>
      <c r="AJ12" s="356">
        <v>18</v>
      </c>
      <c r="AK12" s="357"/>
      <c r="AL12" s="356">
        <v>19</v>
      </c>
      <c r="AM12" s="357"/>
      <c r="AN12" s="375">
        <v>20</v>
      </c>
      <c r="AO12" s="376"/>
      <c r="AP12" s="356">
        <v>21</v>
      </c>
      <c r="AQ12" s="357"/>
      <c r="AR12" s="356">
        <v>22</v>
      </c>
      <c r="AS12" s="357"/>
      <c r="AT12" s="356">
        <v>23</v>
      </c>
      <c r="AU12" s="357"/>
      <c r="AV12" s="375">
        <v>29</v>
      </c>
      <c r="AW12" s="376"/>
      <c r="AX12" s="356">
        <v>30</v>
      </c>
      <c r="AY12" s="357"/>
      <c r="AZ12" s="356">
        <v>31</v>
      </c>
      <c r="BA12" s="357"/>
      <c r="BB12" s="356">
        <v>32</v>
      </c>
      <c r="BC12" s="357"/>
      <c r="BD12" s="356">
        <v>28</v>
      </c>
      <c r="BE12" s="357"/>
      <c r="BF12" s="356">
        <v>29</v>
      </c>
      <c r="BG12" s="357"/>
      <c r="BH12" s="356">
        <v>30</v>
      </c>
      <c r="BI12" s="357"/>
      <c r="BJ12" s="356">
        <v>31</v>
      </c>
      <c r="BK12" s="357"/>
      <c r="BL12" s="356">
        <v>32</v>
      </c>
      <c r="BM12" s="357"/>
      <c r="BN12" s="356">
        <v>33</v>
      </c>
      <c r="BO12" s="357"/>
      <c r="BP12" s="356">
        <v>34</v>
      </c>
      <c r="BQ12" s="357"/>
      <c r="BR12" s="356">
        <v>35</v>
      </c>
      <c r="BS12" s="357"/>
      <c r="BT12" s="356">
        <v>36</v>
      </c>
      <c r="BU12" s="357"/>
      <c r="BV12" s="356">
        <v>37</v>
      </c>
      <c r="BW12" s="357"/>
      <c r="BX12" s="356">
        <v>38</v>
      </c>
      <c r="BY12" s="357"/>
      <c r="BZ12" s="356">
        <v>39</v>
      </c>
      <c r="CA12" s="357"/>
      <c r="CB12" s="356">
        <v>40</v>
      </c>
      <c r="CC12" s="357"/>
      <c r="CD12" s="356">
        <v>41</v>
      </c>
      <c r="CE12" s="357"/>
      <c r="CF12" s="356">
        <v>42</v>
      </c>
      <c r="CG12" s="357"/>
      <c r="CH12" s="379">
        <v>43</v>
      </c>
      <c r="CI12" s="380"/>
      <c r="CJ12" s="379">
        <v>44</v>
      </c>
      <c r="CK12" s="380"/>
      <c r="CL12" s="379">
        <v>45</v>
      </c>
      <c r="CM12" s="380"/>
      <c r="CN12" s="379">
        <v>46</v>
      </c>
      <c r="CO12" s="380"/>
      <c r="CP12" s="379">
        <v>47</v>
      </c>
      <c r="CQ12" s="380"/>
      <c r="CR12" s="379">
        <v>48</v>
      </c>
      <c r="CS12" s="380"/>
      <c r="CT12" s="379">
        <v>49</v>
      </c>
      <c r="CU12" s="380"/>
      <c r="CV12" s="341"/>
      <c r="CW12" s="140"/>
      <c r="CX12" s="402">
        <v>49</v>
      </c>
      <c r="CY12" s="403"/>
      <c r="CZ12" s="379">
        <v>50</v>
      </c>
      <c r="DA12" s="380"/>
      <c r="DB12" s="140"/>
      <c r="DC12" s="140"/>
      <c r="DD12" s="379">
        <v>51</v>
      </c>
      <c r="DE12" s="380"/>
      <c r="DF12" s="379"/>
      <c r="DG12" s="380"/>
      <c r="DH12" s="379"/>
      <c r="DI12" s="380"/>
    </row>
    <row r="13" spans="1:115" ht="60.75" hidden="1" customHeight="1" x14ac:dyDescent="0.25">
      <c r="A13" s="372"/>
      <c r="B13" s="361" t="s">
        <v>76</v>
      </c>
      <c r="C13" s="362"/>
      <c r="D13" s="361" t="s">
        <v>80</v>
      </c>
      <c r="E13" s="362"/>
      <c r="F13" s="361" t="s">
        <v>82</v>
      </c>
      <c r="G13" s="362"/>
      <c r="H13" s="359" t="s">
        <v>87</v>
      </c>
      <c r="I13" s="360"/>
      <c r="J13" s="359" t="s">
        <v>90</v>
      </c>
      <c r="K13" s="360"/>
      <c r="L13" s="359" t="s">
        <v>91</v>
      </c>
      <c r="M13" s="360"/>
      <c r="N13" s="359" t="s">
        <v>94</v>
      </c>
      <c r="O13" s="360"/>
      <c r="P13" s="359" t="s">
        <v>97</v>
      </c>
      <c r="Q13" s="360"/>
      <c r="R13" s="359" t="s">
        <v>98</v>
      </c>
      <c r="S13" s="360"/>
      <c r="T13" s="359" t="s">
        <v>100</v>
      </c>
      <c r="U13" s="360"/>
      <c r="V13" s="359" t="s">
        <v>104</v>
      </c>
      <c r="W13" s="360"/>
      <c r="X13" s="359" t="s">
        <v>106</v>
      </c>
      <c r="Y13" s="360"/>
      <c r="Z13" s="359" t="s">
        <v>112</v>
      </c>
      <c r="AA13" s="360"/>
      <c r="AB13" s="359" t="s">
        <v>113</v>
      </c>
      <c r="AC13" s="360"/>
      <c r="AD13" s="359" t="s">
        <v>122</v>
      </c>
      <c r="AE13" s="360"/>
      <c r="AF13" s="359" t="s">
        <v>123</v>
      </c>
      <c r="AG13" s="360"/>
      <c r="AH13" s="359" t="s">
        <v>126</v>
      </c>
      <c r="AI13" s="360"/>
      <c r="AJ13" s="359" t="s">
        <v>129</v>
      </c>
      <c r="AK13" s="360"/>
      <c r="AL13" s="359" t="s">
        <v>135</v>
      </c>
      <c r="AM13" s="360"/>
      <c r="AN13" s="359" t="s">
        <v>136</v>
      </c>
      <c r="AO13" s="360"/>
      <c r="AP13" s="359" t="s">
        <v>140</v>
      </c>
      <c r="AQ13" s="360"/>
      <c r="AR13" s="359" t="s">
        <v>143</v>
      </c>
      <c r="AS13" s="360"/>
      <c r="AT13" s="359" t="s">
        <v>146</v>
      </c>
      <c r="AU13" s="360"/>
      <c r="AV13" s="359" t="s">
        <v>147</v>
      </c>
      <c r="AW13" s="360"/>
      <c r="AX13" s="359" t="s">
        <v>150</v>
      </c>
      <c r="AY13" s="360"/>
      <c r="AZ13" s="359" t="s">
        <v>153</v>
      </c>
      <c r="BA13" s="360"/>
      <c r="BB13" s="359" t="s">
        <v>155</v>
      </c>
      <c r="BC13" s="360"/>
      <c r="BD13" s="359" t="s">
        <v>158</v>
      </c>
      <c r="BE13" s="360"/>
      <c r="BF13" s="359" t="s">
        <v>161</v>
      </c>
      <c r="BG13" s="360"/>
      <c r="BH13" s="361" t="s">
        <v>163</v>
      </c>
      <c r="BI13" s="362"/>
      <c r="BJ13" s="361" t="s">
        <v>165</v>
      </c>
      <c r="BK13" s="362"/>
      <c r="BL13" s="361" t="s">
        <v>168</v>
      </c>
      <c r="BM13" s="362"/>
      <c r="BN13" s="361" t="s">
        <v>170</v>
      </c>
      <c r="BO13" s="362"/>
      <c r="BP13" s="361" t="s">
        <v>172</v>
      </c>
      <c r="BQ13" s="362"/>
      <c r="BR13" s="361" t="s">
        <v>175</v>
      </c>
      <c r="BS13" s="362"/>
      <c r="BT13" s="361" t="s">
        <v>180</v>
      </c>
      <c r="BU13" s="362"/>
      <c r="BV13" s="361" t="s">
        <v>181</v>
      </c>
      <c r="BW13" s="362"/>
      <c r="BX13" s="361" t="s">
        <v>184</v>
      </c>
      <c r="BY13" s="362"/>
      <c r="BZ13" s="361" t="s">
        <v>185</v>
      </c>
      <c r="CA13" s="362"/>
      <c r="CB13" s="361" t="s">
        <v>188</v>
      </c>
      <c r="CC13" s="362"/>
      <c r="CD13" s="361" t="s">
        <v>192</v>
      </c>
      <c r="CE13" s="362"/>
      <c r="CF13" s="361" t="s">
        <v>198</v>
      </c>
      <c r="CG13" s="362"/>
      <c r="CH13" s="349" t="s">
        <v>197</v>
      </c>
      <c r="CI13" s="350"/>
      <c r="CJ13" s="349" t="s">
        <v>201</v>
      </c>
      <c r="CK13" s="350"/>
      <c r="CL13" s="349" t="s">
        <v>204</v>
      </c>
      <c r="CM13" s="350"/>
      <c r="CN13" s="349" t="s">
        <v>211</v>
      </c>
      <c r="CO13" s="350"/>
      <c r="CP13" s="349" t="s">
        <v>215</v>
      </c>
      <c r="CQ13" s="350"/>
      <c r="CR13" s="349" t="s">
        <v>224</v>
      </c>
      <c r="CS13" s="350"/>
      <c r="CT13" s="349" t="s">
        <v>226</v>
      </c>
      <c r="CU13" s="350"/>
      <c r="CV13" s="349" t="s">
        <v>234</v>
      </c>
      <c r="CW13" s="350"/>
      <c r="CX13" s="349"/>
      <c r="CY13" s="350"/>
      <c r="CZ13" s="349"/>
      <c r="DA13" s="350"/>
      <c r="DB13" s="349"/>
      <c r="DC13" s="350"/>
      <c r="DD13" s="349"/>
      <c r="DE13" s="350"/>
      <c r="DF13" s="393" t="s">
        <v>75</v>
      </c>
      <c r="DG13" s="394"/>
      <c r="DH13" s="393" t="s">
        <v>1</v>
      </c>
      <c r="DI13" s="394"/>
    </row>
    <row r="14" spans="1:115" ht="29.25" hidden="1" customHeight="1" x14ac:dyDescent="0.25">
      <c r="A14" s="373"/>
      <c r="B14" s="310" t="s">
        <v>2</v>
      </c>
      <c r="C14" s="311" t="s">
        <v>3</v>
      </c>
      <c r="D14" s="312" t="s">
        <v>2</v>
      </c>
      <c r="E14" s="311" t="s">
        <v>3</v>
      </c>
      <c r="F14" s="313" t="s">
        <v>2</v>
      </c>
      <c r="G14" s="311" t="s">
        <v>3</v>
      </c>
      <c r="H14" s="313" t="s">
        <v>2</v>
      </c>
      <c r="I14" s="311" t="s">
        <v>3</v>
      </c>
      <c r="J14" s="313" t="s">
        <v>2</v>
      </c>
      <c r="K14" s="311" t="s">
        <v>3</v>
      </c>
      <c r="L14" s="313" t="s">
        <v>2</v>
      </c>
      <c r="M14" s="311" t="s">
        <v>3</v>
      </c>
      <c r="N14" s="313" t="s">
        <v>2</v>
      </c>
      <c r="O14" s="311" t="s">
        <v>3</v>
      </c>
      <c r="P14" s="313" t="s">
        <v>2</v>
      </c>
      <c r="Q14" s="311" t="s">
        <v>3</v>
      </c>
      <c r="R14" s="313" t="s">
        <v>2</v>
      </c>
      <c r="S14" s="311" t="s">
        <v>3</v>
      </c>
      <c r="T14" s="314" t="s">
        <v>2</v>
      </c>
      <c r="U14" s="311" t="s">
        <v>3</v>
      </c>
      <c r="V14" s="312" t="s">
        <v>2</v>
      </c>
      <c r="W14" s="315" t="s">
        <v>3</v>
      </c>
      <c r="X14" s="316" t="s">
        <v>2</v>
      </c>
      <c r="Y14" s="311" t="s">
        <v>3</v>
      </c>
      <c r="Z14" s="313" t="s">
        <v>2</v>
      </c>
      <c r="AA14" s="311" t="s">
        <v>3</v>
      </c>
      <c r="AB14" s="313" t="s">
        <v>2</v>
      </c>
      <c r="AC14" s="311" t="s">
        <v>3</v>
      </c>
      <c r="AD14" s="317" t="s">
        <v>2</v>
      </c>
      <c r="AE14" s="311" t="s">
        <v>3</v>
      </c>
      <c r="AF14" s="313" t="s">
        <v>2</v>
      </c>
      <c r="AG14" s="311" t="s">
        <v>3</v>
      </c>
      <c r="AH14" s="313" t="s">
        <v>2</v>
      </c>
      <c r="AI14" s="311" t="s">
        <v>3</v>
      </c>
      <c r="AJ14" s="313" t="s">
        <v>2</v>
      </c>
      <c r="AK14" s="311" t="s">
        <v>3</v>
      </c>
      <c r="AL14" s="313" t="s">
        <v>2</v>
      </c>
      <c r="AM14" s="311" t="s">
        <v>3</v>
      </c>
      <c r="AN14" s="313" t="s">
        <v>2</v>
      </c>
      <c r="AO14" s="311" t="s">
        <v>3</v>
      </c>
      <c r="AP14" s="318" t="s">
        <v>2</v>
      </c>
      <c r="AQ14" s="315" t="s">
        <v>3</v>
      </c>
      <c r="AR14" s="313" t="s">
        <v>2</v>
      </c>
      <c r="AS14" s="311" t="s">
        <v>3</v>
      </c>
      <c r="AT14" s="313" t="s">
        <v>2</v>
      </c>
      <c r="AU14" s="311" t="s">
        <v>3</v>
      </c>
      <c r="AV14" s="314" t="s">
        <v>2</v>
      </c>
      <c r="AW14" s="311" t="s">
        <v>3</v>
      </c>
      <c r="AX14" s="313" t="s">
        <v>2</v>
      </c>
      <c r="AY14" s="311" t="s">
        <v>3</v>
      </c>
      <c r="AZ14" s="313" t="s">
        <v>2</v>
      </c>
      <c r="BA14" s="311" t="s">
        <v>3</v>
      </c>
      <c r="BB14" s="313" t="s">
        <v>2</v>
      </c>
      <c r="BC14" s="311" t="s">
        <v>3</v>
      </c>
      <c r="BD14" s="313" t="s">
        <v>2</v>
      </c>
      <c r="BE14" s="311" t="s">
        <v>3</v>
      </c>
      <c r="BF14" s="313" t="s">
        <v>2</v>
      </c>
      <c r="BG14" s="311" t="s">
        <v>3</v>
      </c>
      <c r="BH14" s="313" t="s">
        <v>2</v>
      </c>
      <c r="BI14" s="311" t="s">
        <v>3</v>
      </c>
      <c r="BJ14" s="318" t="s">
        <v>2</v>
      </c>
      <c r="BK14" s="315" t="s">
        <v>3</v>
      </c>
      <c r="BL14" s="313" t="s">
        <v>2</v>
      </c>
      <c r="BM14" s="311" t="s">
        <v>3</v>
      </c>
      <c r="BN14" s="314" t="s">
        <v>2</v>
      </c>
      <c r="BO14" s="311" t="s">
        <v>3</v>
      </c>
      <c r="BP14" s="23" t="s">
        <v>2</v>
      </c>
      <c r="BQ14" s="311" t="s">
        <v>3</v>
      </c>
      <c r="BR14" s="310" t="s">
        <v>2</v>
      </c>
      <c r="BS14" s="311" t="s">
        <v>3</v>
      </c>
      <c r="BT14" s="313" t="s">
        <v>2</v>
      </c>
      <c r="BU14" s="311" t="s">
        <v>3</v>
      </c>
      <c r="BV14" s="313" t="s">
        <v>2</v>
      </c>
      <c r="BW14" s="311" t="s">
        <v>3</v>
      </c>
      <c r="BX14" s="317" t="s">
        <v>2</v>
      </c>
      <c r="BY14" s="311" t="s">
        <v>3</v>
      </c>
      <c r="BZ14" s="313" t="s">
        <v>2</v>
      </c>
      <c r="CA14" s="311" t="s">
        <v>3</v>
      </c>
      <c r="CB14" s="313" t="s">
        <v>2</v>
      </c>
      <c r="CC14" s="311" t="s">
        <v>3</v>
      </c>
      <c r="CD14" s="319" t="s">
        <v>2</v>
      </c>
      <c r="CE14" s="315" t="s">
        <v>3</v>
      </c>
      <c r="CF14" s="313" t="s">
        <v>2</v>
      </c>
      <c r="CG14" s="311" t="s">
        <v>3</v>
      </c>
      <c r="CH14" s="44" t="s">
        <v>2</v>
      </c>
      <c r="CI14" s="10" t="s">
        <v>3</v>
      </c>
      <c r="CJ14" s="44" t="s">
        <v>2</v>
      </c>
      <c r="CK14" s="10" t="s">
        <v>3</v>
      </c>
      <c r="CL14" s="71" t="s">
        <v>2</v>
      </c>
      <c r="CM14" s="10" t="s">
        <v>3</v>
      </c>
      <c r="CN14" s="71" t="s">
        <v>2</v>
      </c>
      <c r="CO14" s="10" t="s">
        <v>3</v>
      </c>
      <c r="CP14" s="44" t="s">
        <v>2</v>
      </c>
      <c r="CQ14" s="10" t="s">
        <v>3</v>
      </c>
      <c r="CR14" s="44" t="s">
        <v>2</v>
      </c>
      <c r="CS14" s="10" t="s">
        <v>3</v>
      </c>
      <c r="CT14" s="44" t="s">
        <v>2</v>
      </c>
      <c r="CU14" s="10" t="s">
        <v>3</v>
      </c>
      <c r="CV14" s="71" t="s">
        <v>2</v>
      </c>
      <c r="CW14" s="10" t="s">
        <v>3</v>
      </c>
      <c r="CX14" s="71" t="s">
        <v>2</v>
      </c>
      <c r="CY14" s="10" t="s">
        <v>3</v>
      </c>
      <c r="CZ14" s="9" t="s">
        <v>2</v>
      </c>
      <c r="DA14" s="10" t="s">
        <v>3</v>
      </c>
      <c r="DB14" s="9" t="s">
        <v>2</v>
      </c>
      <c r="DC14" s="10" t="s">
        <v>3</v>
      </c>
      <c r="DD14" s="81" t="s">
        <v>2</v>
      </c>
      <c r="DE14" s="11" t="s">
        <v>3</v>
      </c>
      <c r="DF14" s="34" t="s">
        <v>2</v>
      </c>
      <c r="DG14" s="11" t="s">
        <v>3</v>
      </c>
      <c r="DH14" s="25" t="s">
        <v>2</v>
      </c>
      <c r="DI14" s="11" t="s">
        <v>3</v>
      </c>
    </row>
    <row r="15" spans="1:115" ht="32.25" hidden="1" customHeight="1" x14ac:dyDescent="0.25">
      <c r="A15" s="12" t="s">
        <v>4</v>
      </c>
      <c r="B15" s="12">
        <v>8</v>
      </c>
      <c r="C15" s="13">
        <v>14440</v>
      </c>
      <c r="D15" s="69">
        <v>3</v>
      </c>
      <c r="E15" s="13">
        <v>9679</v>
      </c>
      <c r="F15" s="45">
        <v>6</v>
      </c>
      <c r="G15" s="13">
        <v>15500</v>
      </c>
      <c r="H15" s="45">
        <v>7</v>
      </c>
      <c r="I15" s="13">
        <v>7600</v>
      </c>
      <c r="J15" s="45">
        <v>9</v>
      </c>
      <c r="K15" s="13">
        <v>17722</v>
      </c>
      <c r="L15" s="45">
        <v>7</v>
      </c>
      <c r="M15" s="13">
        <v>13986</v>
      </c>
      <c r="N15" s="45">
        <v>9</v>
      </c>
      <c r="O15" s="13">
        <v>21430</v>
      </c>
      <c r="P15" s="45">
        <v>12</v>
      </c>
      <c r="Q15" s="13">
        <v>32500</v>
      </c>
      <c r="R15" s="45">
        <v>10</v>
      </c>
      <c r="S15" s="13">
        <v>19100</v>
      </c>
      <c r="T15" s="62">
        <v>12</v>
      </c>
      <c r="U15" s="13">
        <v>32954</v>
      </c>
      <c r="V15" s="38">
        <v>19</v>
      </c>
      <c r="W15" s="13">
        <v>51150</v>
      </c>
      <c r="X15" s="38">
        <v>13</v>
      </c>
      <c r="Y15" s="13">
        <v>38400</v>
      </c>
      <c r="Z15" s="45">
        <v>12</v>
      </c>
      <c r="AA15" s="13">
        <v>27895</v>
      </c>
      <c r="AB15" s="45">
        <v>11</v>
      </c>
      <c r="AC15" s="13">
        <v>32120</v>
      </c>
      <c r="AD15" s="72">
        <v>9</v>
      </c>
      <c r="AE15" s="13">
        <v>20390</v>
      </c>
      <c r="AF15" s="45">
        <v>5</v>
      </c>
      <c r="AG15" s="13">
        <v>6255</v>
      </c>
      <c r="AH15" s="45">
        <v>9</v>
      </c>
      <c r="AI15" s="13">
        <v>24360</v>
      </c>
      <c r="AJ15" s="45">
        <v>18</v>
      </c>
      <c r="AK15" s="13">
        <v>31605</v>
      </c>
      <c r="AL15" s="45">
        <v>14</v>
      </c>
      <c r="AM15" s="13">
        <v>17204</v>
      </c>
      <c r="AN15" s="45">
        <v>10</v>
      </c>
      <c r="AO15" s="13">
        <v>24950</v>
      </c>
      <c r="AP15" s="45">
        <v>13</v>
      </c>
      <c r="AQ15" s="13">
        <v>25600</v>
      </c>
      <c r="AR15" s="45">
        <v>10</v>
      </c>
      <c r="AS15" s="13">
        <v>9600</v>
      </c>
      <c r="AT15" s="45">
        <v>9</v>
      </c>
      <c r="AU15" s="13">
        <v>11600</v>
      </c>
      <c r="AV15" s="79">
        <v>7</v>
      </c>
      <c r="AW15" s="13">
        <v>11800</v>
      </c>
      <c r="AX15" s="45">
        <v>16</v>
      </c>
      <c r="AY15" s="13">
        <v>37300</v>
      </c>
      <c r="AZ15" s="45">
        <v>8</v>
      </c>
      <c r="BA15" s="13">
        <v>12700</v>
      </c>
      <c r="BB15" s="45">
        <v>13</v>
      </c>
      <c r="BC15" s="13">
        <v>17900</v>
      </c>
      <c r="BD15" s="45">
        <v>12</v>
      </c>
      <c r="BE15" s="13">
        <v>24900</v>
      </c>
      <c r="BF15" s="45">
        <v>11</v>
      </c>
      <c r="BG15" s="13">
        <v>20350</v>
      </c>
      <c r="BH15" s="45">
        <v>9</v>
      </c>
      <c r="BI15" s="13">
        <v>20540</v>
      </c>
      <c r="BJ15" s="45">
        <v>10</v>
      </c>
      <c r="BK15" s="13">
        <v>24370</v>
      </c>
      <c r="BL15" s="45">
        <v>8</v>
      </c>
      <c r="BM15" s="13">
        <v>8100</v>
      </c>
      <c r="BN15" s="79">
        <v>5</v>
      </c>
      <c r="BO15" s="13">
        <v>4000</v>
      </c>
      <c r="BP15" s="79">
        <v>7</v>
      </c>
      <c r="BQ15" s="13">
        <v>14400</v>
      </c>
      <c r="BR15" s="79">
        <v>5</v>
      </c>
      <c r="BS15" s="13">
        <v>12800</v>
      </c>
      <c r="BT15" s="45">
        <v>11</v>
      </c>
      <c r="BU15" s="13">
        <v>11700</v>
      </c>
      <c r="BV15" s="45">
        <v>6</v>
      </c>
      <c r="BW15" s="13">
        <v>9870</v>
      </c>
      <c r="BX15" s="72">
        <v>7</v>
      </c>
      <c r="BY15" s="13">
        <v>6700</v>
      </c>
      <c r="BZ15" s="45">
        <v>6</v>
      </c>
      <c r="CA15" s="13">
        <v>5900</v>
      </c>
      <c r="CB15" s="45">
        <v>9</v>
      </c>
      <c r="CC15" s="13">
        <v>17260</v>
      </c>
      <c r="CD15" s="45">
        <v>3</v>
      </c>
      <c r="CE15" s="13">
        <v>5100</v>
      </c>
      <c r="CF15" s="45">
        <v>7</v>
      </c>
      <c r="CG15" s="13">
        <v>9130</v>
      </c>
      <c r="CH15" s="45">
        <v>6</v>
      </c>
      <c r="CI15" s="13">
        <v>14480</v>
      </c>
      <c r="CJ15" s="45">
        <v>8</v>
      </c>
      <c r="CK15" s="13">
        <v>15100</v>
      </c>
      <c r="CL15" s="72">
        <v>11</v>
      </c>
      <c r="CM15" s="13">
        <v>22250</v>
      </c>
      <c r="CN15" s="72">
        <v>5</v>
      </c>
      <c r="CO15" s="13">
        <v>6100</v>
      </c>
      <c r="CP15" s="45">
        <v>6</v>
      </c>
      <c r="CQ15" s="13">
        <v>7300</v>
      </c>
      <c r="CR15" s="45">
        <v>9</v>
      </c>
      <c r="CS15" s="13">
        <v>16290</v>
      </c>
      <c r="CT15" s="45">
        <v>14</v>
      </c>
      <c r="CU15" s="13">
        <v>22950</v>
      </c>
      <c r="CV15" s="72">
        <f>CN15+CP15+CR15+CT15</f>
        <v>34</v>
      </c>
      <c r="CW15" s="13">
        <f>CO15+CQ15+CS15+CU15</f>
        <v>52640</v>
      </c>
      <c r="CX15" s="72"/>
      <c r="CY15" s="13"/>
      <c r="CZ15" s="12"/>
      <c r="DA15" s="13"/>
      <c r="DB15" s="72"/>
      <c r="DC15" s="13"/>
      <c r="DD15" s="12"/>
      <c r="DE15" s="13"/>
      <c r="DF15" s="34">
        <f>B15+CZ15+DD15+D15+F15+H15+J15+L15+N15+P15+R15+T15+V15+X15+Z15+AB15+AD15+AF15+AH15+AJ15+AL15+AN15+AP15+AR15+AT15+AV15+AX15+AZ15+BB15+BD15+BF15+BH15+BJ15+BL15+BN15+BP15+BR15+BT15+BV15+BX15+BZ15+CB15+CD15+CF15+CH15+CJ15+CL15+CN15+CP15+CR15+CT15+CX15</f>
        <v>454</v>
      </c>
      <c r="DG15" s="15">
        <f>C15+DA15+DE15+E15+G15+I15+K15+M15+O15+Q15+S15+U15+W15+Y15+AA15+AC15+AE15+AG15+AI15+AK15+AM15+AO15+AQ15+AS15+AU15+AW15+AY15+BA15+BC15+BE15+BG15+BI15+BK15+BM15+BO15+BQ15+BS15+BU15+BW15+BY15+CA15+CC15+CE15+CG15+CI15+CK15+CM15+CO15+CQ15+CS15+CU15+CY15</f>
        <v>885330</v>
      </c>
      <c r="DH15" s="25">
        <f>DF15+3001</f>
        <v>3455</v>
      </c>
      <c r="DI15" s="15">
        <f>DG15+3104943</f>
        <v>3990273</v>
      </c>
      <c r="DJ15" s="28"/>
      <c r="DK15" s="28"/>
    </row>
    <row r="16" spans="1:115" ht="15" hidden="1" customHeight="1" x14ac:dyDescent="0.25">
      <c r="A16" s="21" t="s">
        <v>102</v>
      </c>
      <c r="B16" s="12"/>
      <c r="C16" s="13"/>
      <c r="D16" s="106"/>
      <c r="E16" s="22"/>
      <c r="F16" s="46"/>
      <c r="G16" s="22"/>
      <c r="H16" s="46">
        <v>1</v>
      </c>
      <c r="I16" s="22">
        <v>1000</v>
      </c>
      <c r="J16" s="46">
        <v>1</v>
      </c>
      <c r="K16" s="22">
        <v>2500</v>
      </c>
      <c r="L16" s="46">
        <v>1</v>
      </c>
      <c r="M16" s="22">
        <v>3500</v>
      </c>
      <c r="N16" s="46">
        <v>1</v>
      </c>
      <c r="O16" s="22">
        <v>3500</v>
      </c>
      <c r="P16" s="46"/>
      <c r="Q16" s="22"/>
      <c r="R16" s="46"/>
      <c r="S16" s="22"/>
      <c r="T16" s="63">
        <v>1</v>
      </c>
      <c r="U16" s="22">
        <v>5000</v>
      </c>
      <c r="V16" s="39">
        <v>2</v>
      </c>
      <c r="W16" s="22">
        <v>7000</v>
      </c>
      <c r="X16" s="184">
        <v>3</v>
      </c>
      <c r="Y16" s="115">
        <v>7500</v>
      </c>
      <c r="Z16" s="46"/>
      <c r="AA16" s="22"/>
      <c r="AB16" s="46"/>
      <c r="AC16" s="22"/>
      <c r="AD16" s="73">
        <v>1</v>
      </c>
      <c r="AE16" s="22">
        <v>650</v>
      </c>
      <c r="AF16" s="46"/>
      <c r="AG16" s="22"/>
      <c r="AH16" s="46"/>
      <c r="AI16" s="22"/>
      <c r="AJ16" s="46"/>
      <c r="AK16" s="22"/>
      <c r="AL16" s="46">
        <v>3</v>
      </c>
      <c r="AM16" s="22">
        <v>1500</v>
      </c>
      <c r="AN16" s="114"/>
      <c r="AO16" s="115"/>
      <c r="AP16" s="114">
        <v>2</v>
      </c>
      <c r="AQ16" s="115">
        <v>2200</v>
      </c>
      <c r="AR16" s="234"/>
      <c r="AS16" s="235"/>
      <c r="AT16" s="114"/>
      <c r="AU16" s="115"/>
      <c r="AV16" s="116"/>
      <c r="AW16" s="115"/>
      <c r="AX16" s="114">
        <v>1</v>
      </c>
      <c r="AY16" s="115">
        <v>5000</v>
      </c>
      <c r="AZ16" s="114">
        <v>1</v>
      </c>
      <c r="BA16" s="115">
        <v>200</v>
      </c>
      <c r="BB16" s="114">
        <v>1</v>
      </c>
      <c r="BC16" s="115">
        <v>200</v>
      </c>
      <c r="BD16" s="114"/>
      <c r="BE16" s="115"/>
      <c r="BF16" s="114">
        <v>1</v>
      </c>
      <c r="BG16" s="115">
        <v>1100</v>
      </c>
      <c r="BH16" s="114">
        <v>1</v>
      </c>
      <c r="BI16" s="115">
        <v>1000</v>
      </c>
      <c r="BJ16" s="117"/>
      <c r="BK16" s="98"/>
      <c r="BL16" s="117"/>
      <c r="BM16" s="98"/>
      <c r="BN16" s="116">
        <v>1</v>
      </c>
      <c r="BO16" s="115">
        <v>300</v>
      </c>
      <c r="BP16" s="118">
        <v>1</v>
      </c>
      <c r="BQ16" s="98">
        <v>3100</v>
      </c>
      <c r="BR16" s="119"/>
      <c r="BS16" s="119"/>
      <c r="BT16" s="114"/>
      <c r="BU16" s="120"/>
      <c r="BV16" s="114">
        <v>1</v>
      </c>
      <c r="BW16" s="115">
        <v>300</v>
      </c>
      <c r="BX16" s="121"/>
      <c r="BY16" s="115"/>
      <c r="BZ16" s="114"/>
      <c r="CA16" s="115"/>
      <c r="CB16" s="114">
        <v>1</v>
      </c>
      <c r="CC16" s="115">
        <v>200</v>
      </c>
      <c r="CD16" s="119"/>
      <c r="CE16" s="115"/>
      <c r="CF16" s="114">
        <v>2</v>
      </c>
      <c r="CG16" s="115">
        <v>4200</v>
      </c>
      <c r="CH16" s="114"/>
      <c r="CI16" s="115"/>
      <c r="CJ16" s="114"/>
      <c r="CK16" s="115"/>
      <c r="CL16" s="121"/>
      <c r="CM16" s="115"/>
      <c r="CN16" s="121"/>
      <c r="CO16" s="115"/>
      <c r="CP16" s="208">
        <v>3</v>
      </c>
      <c r="CQ16" s="205">
        <v>1600</v>
      </c>
      <c r="CR16" s="114"/>
      <c r="CS16" s="115"/>
      <c r="CT16" s="114"/>
      <c r="CU16" s="115"/>
      <c r="CV16" s="72">
        <f t="shared" ref="CV16:CV19" si="0">CN16+CP16+CR16+CT16</f>
        <v>3</v>
      </c>
      <c r="CW16" s="13">
        <f t="shared" ref="CW16:CW19" si="1">CO16+CQ16+CS16+CU16</f>
        <v>1600</v>
      </c>
      <c r="CX16" s="122"/>
      <c r="CY16" s="98"/>
      <c r="CZ16" s="119"/>
      <c r="DA16" s="115"/>
      <c r="DB16" s="72"/>
      <c r="DC16" s="13"/>
      <c r="DD16" s="123"/>
      <c r="DE16" s="124"/>
      <c r="DF16" s="35">
        <f>B16+CZ16+DD16+D16+F16+H16+J16+L16+N16+P16+R16+T16+V16+X16+Z16+AB16+AD16+AF16+AH16+AJ16+AL16+AN16+AP16+AR16+AT16+AV16+AX16+AZ16+BB16+BD16+BF16+BH16+BJ16+BL16+BN16+BP16+BR16+BT16+BV16+BX16+BZ16+CB16+CD16+CF16+CH16+CJ16+CL16+CN16+CP16+CR16+CT16+CX16</f>
        <v>30</v>
      </c>
      <c r="DG16" s="15">
        <f>C16+DA16+DE16+E16+G16+I16+K16+M16+O16+Q16+S16+U16+W16+Y16+AA16+AC16+AE16+AG16+AI16+AK16+AM16+AO16+AQ16+AS16+AU16+AW16+AY16+BA16+BC16+BE16+BG16+BI16+BK16+BM16+BO16+BQ16+BS16+BU16+BW16+BY16+CA16+CC16+CE16+CG16+CI16+CK16+CM16+CO16+CQ16+CS16+CU16+CY16</f>
        <v>51550</v>
      </c>
      <c r="DH16" s="125">
        <f>DF16+166</f>
        <v>196</v>
      </c>
      <c r="DI16" s="124">
        <f>DG16+116753</f>
        <v>168303</v>
      </c>
      <c r="DJ16" s="28"/>
      <c r="DK16" s="28"/>
    </row>
    <row r="17" spans="1:115" s="219" customFormat="1" ht="15" hidden="1" customHeight="1" x14ac:dyDescent="0.25">
      <c r="A17" s="277" t="s">
        <v>221</v>
      </c>
      <c r="B17" s="323"/>
      <c r="C17" s="324"/>
      <c r="D17" s="325"/>
      <c r="E17" s="215"/>
      <c r="F17" s="214"/>
      <c r="G17" s="215"/>
      <c r="H17" s="214"/>
      <c r="I17" s="215"/>
      <c r="J17" s="214"/>
      <c r="K17" s="215"/>
      <c r="L17" s="214"/>
      <c r="M17" s="215"/>
      <c r="N17" s="214"/>
      <c r="O17" s="215"/>
      <c r="P17" s="214"/>
      <c r="Q17" s="215"/>
      <c r="R17" s="214"/>
      <c r="S17" s="215"/>
      <c r="T17" s="216"/>
      <c r="U17" s="215"/>
      <c r="V17" s="326"/>
      <c r="W17" s="215"/>
      <c r="X17" s="210"/>
      <c r="Y17" s="205"/>
      <c r="Z17" s="214"/>
      <c r="AA17" s="215"/>
      <c r="AB17" s="214"/>
      <c r="AC17" s="215"/>
      <c r="AD17" s="327"/>
      <c r="AE17" s="215"/>
      <c r="AF17" s="214"/>
      <c r="AG17" s="215"/>
      <c r="AH17" s="214"/>
      <c r="AI17" s="215"/>
      <c r="AJ17" s="214"/>
      <c r="AK17" s="215"/>
      <c r="AL17" s="214"/>
      <c r="AM17" s="215"/>
      <c r="AN17" s="208"/>
      <c r="AO17" s="205"/>
      <c r="AP17" s="208"/>
      <c r="AQ17" s="205"/>
      <c r="AR17" s="220"/>
      <c r="AS17" s="221"/>
      <c r="AT17" s="208"/>
      <c r="AU17" s="205"/>
      <c r="AV17" s="209"/>
      <c r="AW17" s="205"/>
      <c r="AX17" s="208"/>
      <c r="AY17" s="205"/>
      <c r="AZ17" s="208"/>
      <c r="BA17" s="205"/>
      <c r="BB17" s="208"/>
      <c r="BC17" s="205"/>
      <c r="BD17" s="208"/>
      <c r="BE17" s="205"/>
      <c r="BF17" s="208"/>
      <c r="BG17" s="205"/>
      <c r="BH17" s="208"/>
      <c r="BI17" s="205"/>
      <c r="BJ17" s="328"/>
      <c r="BK17" s="329"/>
      <c r="BL17" s="328"/>
      <c r="BM17" s="329"/>
      <c r="BN17" s="209"/>
      <c r="BO17" s="205"/>
      <c r="BP17" s="330"/>
      <c r="BQ17" s="329"/>
      <c r="BR17" s="203"/>
      <c r="BS17" s="203"/>
      <c r="BT17" s="208"/>
      <c r="BU17" s="329"/>
      <c r="BV17" s="208"/>
      <c r="BW17" s="205"/>
      <c r="BX17" s="204"/>
      <c r="BY17" s="205"/>
      <c r="BZ17" s="208"/>
      <c r="CA17" s="205"/>
      <c r="CB17" s="208"/>
      <c r="CC17" s="205"/>
      <c r="CD17" s="203"/>
      <c r="CE17" s="205"/>
      <c r="CF17" s="208"/>
      <c r="CG17" s="205"/>
      <c r="CH17" s="208"/>
      <c r="CI17" s="205"/>
      <c r="CJ17" s="208"/>
      <c r="CK17" s="205"/>
      <c r="CL17" s="204"/>
      <c r="CM17" s="205"/>
      <c r="CN17" s="204"/>
      <c r="CO17" s="205"/>
      <c r="CP17" s="208">
        <v>3</v>
      </c>
      <c r="CQ17" s="205">
        <v>1600</v>
      </c>
      <c r="CR17" s="208"/>
      <c r="CS17" s="205"/>
      <c r="CT17" s="114"/>
      <c r="CU17" s="115"/>
      <c r="CV17" s="72">
        <f t="shared" si="0"/>
        <v>3</v>
      </c>
      <c r="CW17" s="13">
        <f t="shared" si="1"/>
        <v>1600</v>
      </c>
      <c r="CX17" s="331"/>
      <c r="CY17" s="329"/>
      <c r="CZ17" s="203"/>
      <c r="DA17" s="205"/>
      <c r="DB17" s="332"/>
      <c r="DC17" s="324"/>
      <c r="DD17" s="333"/>
      <c r="DE17" s="334"/>
      <c r="DF17" s="335">
        <f t="shared" ref="DF17:DF18" si="2">B17+CZ17+DD17+D17+F17+H17+J17+L17+N17+P17+R17+T17+V17+X17+Z17+AB17+AD17+AF17+AH17+AJ17+AL17+AN17+AP17+AR17+AT17+AV17+AX17+AZ17+BB17+BD17+BF17+BH17+BJ17+BL17+BN17+BP17+BR17+BT17+BV17+BX17+BZ17+CB17+CD17+CF17+CH17+CJ17+CL17+CN17+CP17+CR17+CT17+CX17</f>
        <v>3</v>
      </c>
      <c r="DG17" s="334">
        <f t="shared" ref="DG17:DG24" si="3">C17+DA17+DE17+E17+G17+I17+K17+M17+O17+Q17+S17+U17+W17+Y17+AA17+AC17+AE17+AG17+AI17+AK17+AM17+AO17+AQ17+AS17+AU17+AW17+AY17+BA17+BC17+BE17+BG17+BI17+BK17+BM17+BO17+BQ17+BS17+BU17+BW17+BY17+CA17+CC17+CE17+CG17+CI17+CK17+CM17+CO17+CQ17+CS17+CU17+CY17</f>
        <v>1600</v>
      </c>
      <c r="DH17" s="336">
        <f>DF17</f>
        <v>3</v>
      </c>
      <c r="DI17" s="334">
        <f>DG17</f>
        <v>1600</v>
      </c>
      <c r="DJ17" s="337"/>
      <c r="DK17" s="337"/>
    </row>
    <row r="18" spans="1:115" ht="31.5" hidden="1" x14ac:dyDescent="0.25">
      <c r="A18" s="182" t="s">
        <v>88</v>
      </c>
      <c r="B18" s="12"/>
      <c r="C18" s="13"/>
      <c r="D18" s="106"/>
      <c r="E18" s="22"/>
      <c r="F18" s="46"/>
      <c r="G18" s="22"/>
      <c r="H18" s="46">
        <v>1</v>
      </c>
      <c r="I18" s="22">
        <v>100</v>
      </c>
      <c r="J18" s="46"/>
      <c r="K18" s="22"/>
      <c r="L18" s="46"/>
      <c r="M18" s="22"/>
      <c r="N18" s="46"/>
      <c r="O18" s="22"/>
      <c r="P18" s="46"/>
      <c r="Q18" s="22"/>
      <c r="R18" s="46"/>
      <c r="S18" s="22"/>
      <c r="T18" s="63"/>
      <c r="U18" s="22"/>
      <c r="V18" s="39"/>
      <c r="W18" s="22"/>
      <c r="X18" s="184"/>
      <c r="Y18" s="115"/>
      <c r="Z18" s="46"/>
      <c r="AA18" s="22"/>
      <c r="AB18" s="46"/>
      <c r="AC18" s="22"/>
      <c r="AD18" s="73"/>
      <c r="AE18" s="22"/>
      <c r="AF18" s="46"/>
      <c r="AG18" s="22"/>
      <c r="AH18" s="46"/>
      <c r="AI18" s="22"/>
      <c r="AJ18" s="46"/>
      <c r="AK18" s="22"/>
      <c r="AL18" s="46"/>
      <c r="AM18" s="22"/>
      <c r="AN18" s="46"/>
      <c r="AO18" s="22"/>
      <c r="AP18" s="46"/>
      <c r="AQ18" s="22"/>
      <c r="AR18" s="46"/>
      <c r="AS18" s="22"/>
      <c r="AT18" s="46"/>
      <c r="AU18" s="22"/>
      <c r="AV18" s="63"/>
      <c r="AW18" s="22"/>
      <c r="AX18" s="46"/>
      <c r="AY18" s="22"/>
      <c r="AZ18" s="46"/>
      <c r="BA18" s="22"/>
      <c r="BB18" s="46"/>
      <c r="BC18" s="22"/>
      <c r="BD18" s="46"/>
      <c r="BE18" s="22"/>
      <c r="BF18" s="46"/>
      <c r="BG18" s="22"/>
      <c r="BH18" s="46"/>
      <c r="BI18" s="22"/>
      <c r="BJ18" s="46"/>
      <c r="BK18" s="22"/>
      <c r="BL18" s="46"/>
      <c r="BM18" s="22"/>
      <c r="BN18" s="63"/>
      <c r="BO18" s="22"/>
      <c r="BP18" s="79"/>
      <c r="BQ18" s="13"/>
      <c r="BR18" s="21"/>
      <c r="BS18" s="21"/>
      <c r="BT18" s="46"/>
      <c r="BU18" s="85"/>
      <c r="BV18" s="46"/>
      <c r="BW18" s="22"/>
      <c r="BX18" s="73"/>
      <c r="BY18" s="22"/>
      <c r="BZ18" s="46"/>
      <c r="CA18" s="22"/>
      <c r="CB18" s="46"/>
      <c r="CC18" s="22"/>
      <c r="CD18" s="21"/>
      <c r="CE18" s="22"/>
      <c r="CF18" s="46"/>
      <c r="CG18" s="22"/>
      <c r="CH18" s="46"/>
      <c r="CI18" s="22"/>
      <c r="CJ18" s="46"/>
      <c r="CK18" s="22"/>
      <c r="CL18" s="121"/>
      <c r="CM18" s="115"/>
      <c r="CN18" s="73"/>
      <c r="CO18" s="22"/>
      <c r="CP18" s="214"/>
      <c r="CQ18" s="215"/>
      <c r="CR18" s="46"/>
      <c r="CS18" s="22"/>
      <c r="CT18" s="46"/>
      <c r="CU18" s="22"/>
      <c r="CV18" s="72">
        <f t="shared" si="0"/>
        <v>0</v>
      </c>
      <c r="CW18" s="13">
        <f t="shared" si="1"/>
        <v>0</v>
      </c>
      <c r="CX18" s="72"/>
      <c r="CY18" s="13"/>
      <c r="CZ18" s="21"/>
      <c r="DA18" s="22"/>
      <c r="DB18" s="72"/>
      <c r="DC18" s="13"/>
      <c r="DD18" s="23"/>
      <c r="DE18" s="24"/>
      <c r="DF18" s="183">
        <f t="shared" si="2"/>
        <v>1</v>
      </c>
      <c r="DG18" s="124">
        <f t="shared" si="3"/>
        <v>100</v>
      </c>
      <c r="DH18" s="125">
        <f t="shared" ref="DH18" si="4">DF18+19</f>
        <v>20</v>
      </c>
      <c r="DI18" s="124">
        <f t="shared" ref="DI18" si="5">DG18+31000</f>
        <v>31100</v>
      </c>
      <c r="DJ18" s="28"/>
      <c r="DK18" s="28"/>
    </row>
    <row r="19" spans="1:115" hidden="1" x14ac:dyDescent="0.25">
      <c r="A19" s="119" t="s">
        <v>103</v>
      </c>
      <c r="B19" s="12">
        <v>1</v>
      </c>
      <c r="C19" s="13">
        <v>300</v>
      </c>
      <c r="D19" s="106"/>
      <c r="E19" s="22"/>
      <c r="F19" s="46"/>
      <c r="G19" s="22"/>
      <c r="H19" s="46">
        <v>2</v>
      </c>
      <c r="I19" s="22">
        <v>1100</v>
      </c>
      <c r="J19" s="46">
        <v>2</v>
      </c>
      <c r="K19" s="22">
        <v>2700</v>
      </c>
      <c r="L19" s="46">
        <v>1</v>
      </c>
      <c r="M19" s="22">
        <v>3500</v>
      </c>
      <c r="N19" s="46">
        <v>1</v>
      </c>
      <c r="O19" s="22">
        <v>3500</v>
      </c>
      <c r="P19" s="46">
        <v>1</v>
      </c>
      <c r="Q19" s="22">
        <v>400</v>
      </c>
      <c r="R19" s="46">
        <v>1</v>
      </c>
      <c r="S19" s="22">
        <v>1300</v>
      </c>
      <c r="T19" s="63">
        <v>1</v>
      </c>
      <c r="U19" s="22">
        <v>5000</v>
      </c>
      <c r="V19" s="39"/>
      <c r="W19" s="22"/>
      <c r="X19" s="184">
        <v>2</v>
      </c>
      <c r="Y19" s="115">
        <v>6100</v>
      </c>
      <c r="Z19" s="46">
        <v>1</v>
      </c>
      <c r="AA19" s="22">
        <v>2300</v>
      </c>
      <c r="AB19" s="46">
        <v>2</v>
      </c>
      <c r="AC19" s="22">
        <v>3600</v>
      </c>
      <c r="AD19" s="73">
        <v>3</v>
      </c>
      <c r="AE19" s="22">
        <v>6040</v>
      </c>
      <c r="AF19" s="46"/>
      <c r="AG19" s="22"/>
      <c r="AH19" s="46"/>
      <c r="AI19" s="22"/>
      <c r="AJ19" s="46">
        <v>1</v>
      </c>
      <c r="AK19" s="22">
        <v>175</v>
      </c>
      <c r="AL19" s="46">
        <v>2</v>
      </c>
      <c r="AM19" s="22">
        <v>500</v>
      </c>
      <c r="AN19" s="46">
        <v>1</v>
      </c>
      <c r="AO19" s="22">
        <v>300</v>
      </c>
      <c r="AP19" s="46">
        <v>1</v>
      </c>
      <c r="AQ19" s="22">
        <v>200</v>
      </c>
      <c r="AR19" s="46">
        <v>3</v>
      </c>
      <c r="AS19" s="22">
        <v>900</v>
      </c>
      <c r="AT19" s="46">
        <v>1</v>
      </c>
      <c r="AU19" s="22">
        <v>300</v>
      </c>
      <c r="AV19" s="63">
        <v>2</v>
      </c>
      <c r="AW19" s="22">
        <v>800</v>
      </c>
      <c r="AX19" s="46">
        <v>2</v>
      </c>
      <c r="AY19" s="22">
        <v>400</v>
      </c>
      <c r="AZ19" s="46">
        <v>2</v>
      </c>
      <c r="BA19" s="22">
        <v>400</v>
      </c>
      <c r="BB19" s="46">
        <v>2</v>
      </c>
      <c r="BC19" s="22">
        <v>400</v>
      </c>
      <c r="BD19" s="46">
        <v>2</v>
      </c>
      <c r="BE19" s="22">
        <v>7500</v>
      </c>
      <c r="BF19" s="46">
        <v>4</v>
      </c>
      <c r="BG19" s="22">
        <v>6650</v>
      </c>
      <c r="BH19" s="46">
        <v>3</v>
      </c>
      <c r="BI19" s="22">
        <v>4400</v>
      </c>
      <c r="BJ19" s="46">
        <v>3</v>
      </c>
      <c r="BK19" s="22">
        <v>600</v>
      </c>
      <c r="BL19" s="46">
        <v>2</v>
      </c>
      <c r="BM19" s="22">
        <v>600</v>
      </c>
      <c r="BN19" s="63">
        <v>2</v>
      </c>
      <c r="BO19" s="22">
        <v>600</v>
      </c>
      <c r="BP19" s="79">
        <v>3</v>
      </c>
      <c r="BQ19" s="13">
        <v>4600</v>
      </c>
      <c r="BR19" s="21"/>
      <c r="BS19" s="21"/>
      <c r="BT19" s="46">
        <v>2</v>
      </c>
      <c r="BU19" s="85">
        <v>500</v>
      </c>
      <c r="BV19" s="46">
        <v>2</v>
      </c>
      <c r="BW19" s="22">
        <v>370</v>
      </c>
      <c r="BX19" s="73">
        <v>2</v>
      </c>
      <c r="BY19" s="22">
        <v>500</v>
      </c>
      <c r="BZ19" s="46">
        <v>3</v>
      </c>
      <c r="CA19" s="22">
        <v>800</v>
      </c>
      <c r="CB19" s="46">
        <v>3</v>
      </c>
      <c r="CC19" s="22">
        <v>800</v>
      </c>
      <c r="CD19" s="21">
        <v>1</v>
      </c>
      <c r="CE19" s="22">
        <v>200</v>
      </c>
      <c r="CF19" s="46">
        <v>4</v>
      </c>
      <c r="CG19" s="22">
        <v>3430</v>
      </c>
      <c r="CH19" s="46">
        <v>1</v>
      </c>
      <c r="CI19" s="22">
        <v>200</v>
      </c>
      <c r="CJ19" s="46">
        <v>2</v>
      </c>
      <c r="CK19" s="22">
        <v>1200</v>
      </c>
      <c r="CL19" s="121"/>
      <c r="CM19" s="115"/>
      <c r="CN19" s="73">
        <v>1</v>
      </c>
      <c r="CO19" s="22">
        <v>300</v>
      </c>
      <c r="CP19" s="214">
        <v>2</v>
      </c>
      <c r="CQ19" s="215">
        <v>500</v>
      </c>
      <c r="CR19" s="46">
        <v>1</v>
      </c>
      <c r="CS19" s="22">
        <v>300</v>
      </c>
      <c r="CT19" s="46">
        <v>1</v>
      </c>
      <c r="CU19" s="22">
        <v>250</v>
      </c>
      <c r="CV19" s="72">
        <f t="shared" si="0"/>
        <v>5</v>
      </c>
      <c r="CW19" s="13">
        <f t="shared" si="1"/>
        <v>1350</v>
      </c>
      <c r="CX19" s="72"/>
      <c r="CY19" s="13"/>
      <c r="CZ19" s="21"/>
      <c r="DA19" s="22"/>
      <c r="DB19" s="72"/>
      <c r="DC19" s="13"/>
      <c r="DD19" s="23"/>
      <c r="DE19" s="24"/>
      <c r="DF19" s="183">
        <f t="shared" ref="DF19:DF24" si="6">B19+CZ19+DD19+D19+F19+H19+J19+L19+N19+P19+R19+T19+V19+X19+Z19+AB19+AD19+AF19+AH19+AJ19+AL19+AN19+AP19+AR19+AT19+AV19+AX19+AZ19+BB19+BD19+BF19+BH19+BJ19+BL19+BN19+BP19+BR19+BT19+BV19+BX19+BZ19+CB19+CD19+CF19+CH19+CJ19+CL19+CN19+CP19+CR19+CT19+CX19</f>
        <v>79</v>
      </c>
      <c r="DG19" s="124">
        <f t="shared" si="3"/>
        <v>74515</v>
      </c>
      <c r="DH19" s="125">
        <f>DF19+19</f>
        <v>98</v>
      </c>
      <c r="DI19" s="124">
        <f>DG19+31000</f>
        <v>105515</v>
      </c>
      <c r="DJ19" s="28"/>
      <c r="DK19" s="28"/>
    </row>
    <row r="20" spans="1:115" ht="15.75" hidden="1" customHeight="1" x14ac:dyDescent="0.25">
      <c r="A20" s="97" t="s">
        <v>5</v>
      </c>
      <c r="B20" s="12"/>
      <c r="C20" s="13"/>
      <c r="D20" s="107"/>
      <c r="E20" s="16"/>
      <c r="F20" s="46"/>
      <c r="G20" s="22"/>
      <c r="H20" s="47"/>
      <c r="I20" s="16"/>
      <c r="J20" s="47"/>
      <c r="K20" s="16"/>
      <c r="L20" s="47"/>
      <c r="M20" s="16"/>
      <c r="N20" s="47"/>
      <c r="O20" s="16"/>
      <c r="P20" s="47"/>
      <c r="Q20" s="16"/>
      <c r="R20" s="47"/>
      <c r="S20" s="16"/>
      <c r="T20" s="64"/>
      <c r="U20" s="16"/>
      <c r="V20" s="40"/>
      <c r="W20" s="16"/>
      <c r="X20" s="40"/>
      <c r="Y20" s="16"/>
      <c r="Z20" s="47"/>
      <c r="AA20" s="16"/>
      <c r="AB20" s="47"/>
      <c r="AC20" s="16"/>
      <c r="AD20" s="52"/>
      <c r="AE20" s="16"/>
      <c r="AF20" s="47"/>
      <c r="AG20" s="16"/>
      <c r="AH20" s="47"/>
      <c r="AI20" s="16"/>
      <c r="AJ20" s="47"/>
      <c r="AK20" s="16"/>
      <c r="AL20" s="47"/>
      <c r="AM20" s="16"/>
      <c r="AN20" s="47"/>
      <c r="AO20" s="16"/>
      <c r="AP20" s="47"/>
      <c r="AQ20" s="16"/>
      <c r="AR20" s="47"/>
      <c r="AS20" s="16"/>
      <c r="AT20" s="47"/>
      <c r="AU20" s="16"/>
      <c r="AV20" s="64"/>
      <c r="AW20" s="16"/>
      <c r="AX20" s="47"/>
      <c r="AY20" s="16"/>
      <c r="AZ20" s="47"/>
      <c r="BA20" s="16"/>
      <c r="BB20" s="47"/>
      <c r="BC20" s="16"/>
      <c r="BD20" s="47"/>
      <c r="BE20" s="16"/>
      <c r="BF20" s="47"/>
      <c r="BG20" s="16"/>
      <c r="BH20" s="47"/>
      <c r="BI20" s="16"/>
      <c r="BJ20" s="47"/>
      <c r="BK20" s="16"/>
      <c r="BL20" s="47"/>
      <c r="BM20" s="16"/>
      <c r="BN20" s="64"/>
      <c r="BO20" s="16"/>
      <c r="BP20" s="131"/>
      <c r="BQ20" s="16"/>
      <c r="BR20" s="80"/>
      <c r="BS20" s="80"/>
      <c r="BT20" s="47"/>
      <c r="BU20" s="13"/>
      <c r="BV20" s="47"/>
      <c r="BW20" s="16"/>
      <c r="BX20" s="52"/>
      <c r="BY20" s="16"/>
      <c r="BZ20" s="47"/>
      <c r="CA20" s="16"/>
      <c r="CB20" s="47"/>
      <c r="CC20" s="16"/>
      <c r="CD20" s="80"/>
      <c r="CE20" s="16"/>
      <c r="CF20" s="47"/>
      <c r="CG20" s="16"/>
      <c r="CH20" s="47"/>
      <c r="CI20" s="16"/>
      <c r="CJ20" s="47"/>
      <c r="CK20" s="16"/>
      <c r="CL20" s="52"/>
      <c r="CM20" s="16"/>
      <c r="CN20" s="52"/>
      <c r="CO20" s="16"/>
      <c r="CP20" s="47"/>
      <c r="CQ20" s="16"/>
      <c r="CR20" s="47"/>
      <c r="CS20" s="16"/>
      <c r="CT20" s="47"/>
      <c r="CU20" s="16"/>
      <c r="CV20" s="72">
        <f t="shared" ref="CV20:CV24" si="7">CN20+CP20+CR20+CT20</f>
        <v>0</v>
      </c>
      <c r="CW20" s="13">
        <f t="shared" ref="CW20:CW24" si="8">CO20+CQ20+CS20+CU20</f>
        <v>0</v>
      </c>
      <c r="CX20" s="72"/>
      <c r="CY20" s="13"/>
      <c r="CZ20" s="80"/>
      <c r="DA20" s="16"/>
      <c r="DB20" s="72"/>
      <c r="DC20" s="13"/>
      <c r="DD20" s="14"/>
      <c r="DE20" s="15"/>
      <c r="DF20" s="35">
        <f t="shared" si="6"/>
        <v>0</v>
      </c>
      <c r="DG20" s="15">
        <f t="shared" si="3"/>
        <v>0</v>
      </c>
      <c r="DH20" s="26">
        <f>DF20+20</f>
        <v>20</v>
      </c>
      <c r="DI20" s="15">
        <f>DG20+16940</f>
        <v>16940</v>
      </c>
      <c r="DJ20" s="28"/>
      <c r="DK20" s="28"/>
    </row>
    <row r="21" spans="1:115" ht="45" hidden="1" customHeight="1" x14ac:dyDescent="0.25">
      <c r="A21" s="80" t="s">
        <v>66</v>
      </c>
      <c r="B21" s="12"/>
      <c r="C21" s="13"/>
      <c r="D21" s="107"/>
      <c r="E21" s="16"/>
      <c r="F21" s="46"/>
      <c r="G21" s="22"/>
      <c r="H21" s="47"/>
      <c r="I21" s="16"/>
      <c r="J21" s="47"/>
      <c r="K21" s="16"/>
      <c r="L21" s="47"/>
      <c r="M21" s="16"/>
      <c r="N21" s="47"/>
      <c r="O21" s="16"/>
      <c r="P21" s="47"/>
      <c r="Q21" s="16"/>
      <c r="R21" s="47"/>
      <c r="S21" s="16"/>
      <c r="T21" s="64"/>
      <c r="U21" s="16"/>
      <c r="V21" s="40"/>
      <c r="W21" s="16"/>
      <c r="X21" s="40"/>
      <c r="Y21" s="16"/>
      <c r="Z21" s="47"/>
      <c r="AA21" s="16"/>
      <c r="AB21" s="47"/>
      <c r="AC21" s="16"/>
      <c r="AD21" s="52"/>
      <c r="AE21" s="16"/>
      <c r="AF21" s="47"/>
      <c r="AG21" s="16"/>
      <c r="AH21" s="47"/>
      <c r="AI21" s="16"/>
      <c r="AJ21" s="47"/>
      <c r="AK21" s="16"/>
      <c r="AL21" s="47"/>
      <c r="AM21" s="16"/>
      <c r="AN21" s="47"/>
      <c r="AO21" s="16"/>
      <c r="AP21" s="47"/>
      <c r="AQ21" s="16"/>
      <c r="AR21" s="47"/>
      <c r="AS21" s="16"/>
      <c r="AT21" s="47"/>
      <c r="AU21" s="16"/>
      <c r="AV21" s="64"/>
      <c r="AW21" s="16"/>
      <c r="AX21" s="47"/>
      <c r="AY21" s="16"/>
      <c r="AZ21" s="47"/>
      <c r="BA21" s="16"/>
      <c r="BB21" s="47"/>
      <c r="BC21" s="16"/>
      <c r="BD21" s="47"/>
      <c r="BE21" s="16"/>
      <c r="BF21" s="47"/>
      <c r="BG21" s="16"/>
      <c r="BH21" s="47"/>
      <c r="BI21" s="16"/>
      <c r="BJ21" s="47"/>
      <c r="BK21" s="16"/>
      <c r="BL21" s="47"/>
      <c r="BM21" s="16"/>
      <c r="BN21" s="64"/>
      <c r="BO21" s="16"/>
      <c r="BP21" s="153"/>
      <c r="BQ21" s="100"/>
      <c r="BR21" s="80"/>
      <c r="BS21" s="80"/>
      <c r="BT21" s="47"/>
      <c r="BU21" s="13"/>
      <c r="BV21" s="47"/>
      <c r="BW21" s="16"/>
      <c r="BX21" s="52"/>
      <c r="BY21" s="16"/>
      <c r="BZ21" s="47"/>
      <c r="CA21" s="16"/>
      <c r="CB21" s="47"/>
      <c r="CC21" s="16"/>
      <c r="CD21" s="80"/>
      <c r="CE21" s="16"/>
      <c r="CF21" s="47"/>
      <c r="CG21" s="16"/>
      <c r="CH21" s="47"/>
      <c r="CI21" s="16"/>
      <c r="CJ21" s="47"/>
      <c r="CK21" s="16"/>
      <c r="CL21" s="52"/>
      <c r="CM21" s="16"/>
      <c r="CN21" s="52"/>
      <c r="CO21" s="16"/>
      <c r="CP21" s="47"/>
      <c r="CQ21" s="16"/>
      <c r="CR21" s="47"/>
      <c r="CS21" s="16"/>
      <c r="CT21" s="47"/>
      <c r="CU21" s="16"/>
      <c r="CV21" s="72"/>
      <c r="CW21" s="13"/>
      <c r="CX21" s="72"/>
      <c r="CY21" s="13"/>
      <c r="CZ21" s="80"/>
      <c r="DA21" s="16"/>
      <c r="DB21" s="72"/>
      <c r="DC21" s="13"/>
      <c r="DD21" s="14"/>
      <c r="DE21" s="15"/>
      <c r="DF21" s="35">
        <f t="shared" si="6"/>
        <v>0</v>
      </c>
      <c r="DG21" s="124">
        <f t="shared" si="3"/>
        <v>0</v>
      </c>
      <c r="DH21" s="125">
        <f>DF21+2</f>
        <v>2</v>
      </c>
      <c r="DI21" s="124">
        <f>DG21+4270</f>
        <v>4270</v>
      </c>
      <c r="DJ21" s="28"/>
      <c r="DK21" s="28"/>
    </row>
    <row r="22" spans="1:115" hidden="1" x14ac:dyDescent="0.25">
      <c r="A22" s="80" t="s">
        <v>67</v>
      </c>
      <c r="B22" s="12">
        <v>1</v>
      </c>
      <c r="C22" s="13">
        <v>3500</v>
      </c>
      <c r="D22" s="107">
        <v>2</v>
      </c>
      <c r="E22" s="16">
        <v>8179</v>
      </c>
      <c r="F22" s="46">
        <v>3</v>
      </c>
      <c r="G22" s="22">
        <v>12000</v>
      </c>
      <c r="H22" s="47"/>
      <c r="I22" s="16"/>
      <c r="J22" s="47">
        <v>2</v>
      </c>
      <c r="K22" s="16">
        <v>8322</v>
      </c>
      <c r="L22" s="47">
        <v>2</v>
      </c>
      <c r="M22" s="16">
        <v>6736</v>
      </c>
      <c r="N22" s="47">
        <v>3</v>
      </c>
      <c r="O22" s="16">
        <v>11600</v>
      </c>
      <c r="P22" s="47">
        <v>2</v>
      </c>
      <c r="Q22" s="16">
        <v>10000</v>
      </c>
      <c r="R22" s="47">
        <v>1</v>
      </c>
      <c r="S22" s="16">
        <v>5000</v>
      </c>
      <c r="T22" s="64">
        <v>3</v>
      </c>
      <c r="U22" s="16">
        <v>15000</v>
      </c>
      <c r="V22" s="40">
        <v>6</v>
      </c>
      <c r="W22" s="16">
        <v>27050</v>
      </c>
      <c r="X22" s="40">
        <v>6</v>
      </c>
      <c r="Y22" s="16">
        <v>26500</v>
      </c>
      <c r="Z22" s="47">
        <v>3</v>
      </c>
      <c r="AA22" s="16">
        <v>15000</v>
      </c>
      <c r="AB22" s="47">
        <v>4</v>
      </c>
      <c r="AC22" s="16">
        <v>18770</v>
      </c>
      <c r="AD22" s="52">
        <v>3</v>
      </c>
      <c r="AE22" s="16">
        <v>11790</v>
      </c>
      <c r="AF22" s="47"/>
      <c r="AG22" s="16"/>
      <c r="AH22" s="47">
        <v>3</v>
      </c>
      <c r="AI22" s="16">
        <v>14000</v>
      </c>
      <c r="AJ22" s="47">
        <v>3</v>
      </c>
      <c r="AK22" s="16">
        <v>11700</v>
      </c>
      <c r="AL22" s="47">
        <v>1</v>
      </c>
      <c r="AM22" s="16">
        <v>3946</v>
      </c>
      <c r="AN22" s="47">
        <v>3</v>
      </c>
      <c r="AO22" s="16">
        <v>13850</v>
      </c>
      <c r="AP22" s="47">
        <v>2</v>
      </c>
      <c r="AQ22" s="16">
        <v>8500</v>
      </c>
      <c r="AR22" s="47"/>
      <c r="AS22" s="16"/>
      <c r="AT22" s="47"/>
      <c r="AU22" s="16"/>
      <c r="AV22" s="64">
        <v>2</v>
      </c>
      <c r="AW22" s="16">
        <v>7500</v>
      </c>
      <c r="AX22" s="47">
        <v>5</v>
      </c>
      <c r="AY22" s="16">
        <v>22200</v>
      </c>
      <c r="AZ22" s="47">
        <v>2</v>
      </c>
      <c r="BA22" s="16">
        <v>7000</v>
      </c>
      <c r="BB22" s="47">
        <v>1</v>
      </c>
      <c r="BC22" s="16">
        <v>4000</v>
      </c>
      <c r="BD22" s="47">
        <v>4</v>
      </c>
      <c r="BE22" s="16">
        <v>15500</v>
      </c>
      <c r="BF22" s="47">
        <v>3</v>
      </c>
      <c r="BG22" s="16">
        <v>13000</v>
      </c>
      <c r="BH22" s="47">
        <v>3</v>
      </c>
      <c r="BI22" s="16">
        <v>12000</v>
      </c>
      <c r="BJ22" s="47">
        <v>4</v>
      </c>
      <c r="BK22" s="16">
        <v>16770</v>
      </c>
      <c r="BL22" s="47"/>
      <c r="BM22" s="16"/>
      <c r="BN22" s="64"/>
      <c r="BO22" s="16"/>
      <c r="BP22" s="153">
        <v>1</v>
      </c>
      <c r="BQ22" s="100">
        <v>5000</v>
      </c>
      <c r="BR22" s="80">
        <v>2</v>
      </c>
      <c r="BS22" s="80">
        <v>8000</v>
      </c>
      <c r="BT22" s="47"/>
      <c r="BU22" s="13"/>
      <c r="BV22" s="47">
        <v>2</v>
      </c>
      <c r="BW22" s="16">
        <v>8000</v>
      </c>
      <c r="BX22" s="52"/>
      <c r="BY22" s="16"/>
      <c r="BZ22" s="47"/>
      <c r="CA22" s="16"/>
      <c r="CB22" s="46">
        <v>3</v>
      </c>
      <c r="CC22" s="22">
        <v>12500</v>
      </c>
      <c r="CD22" s="80">
        <v>1</v>
      </c>
      <c r="CE22" s="16">
        <v>4500</v>
      </c>
      <c r="CF22" s="47">
        <v>1</v>
      </c>
      <c r="CG22" s="16">
        <v>4000</v>
      </c>
      <c r="CH22" s="47">
        <v>2</v>
      </c>
      <c r="CI22" s="16">
        <v>8500</v>
      </c>
      <c r="CJ22" s="47">
        <v>2</v>
      </c>
      <c r="CK22" s="16">
        <v>8500</v>
      </c>
      <c r="CL22" s="52">
        <v>2</v>
      </c>
      <c r="CM22" s="16">
        <v>9500</v>
      </c>
      <c r="CN22" s="52"/>
      <c r="CO22" s="16"/>
      <c r="CP22" s="47">
        <v>1</v>
      </c>
      <c r="CQ22" s="16">
        <v>3500</v>
      </c>
      <c r="CR22" s="47">
        <v>2</v>
      </c>
      <c r="CS22" s="16">
        <v>8000</v>
      </c>
      <c r="CT22" s="47">
        <v>2</v>
      </c>
      <c r="CU22" s="16">
        <v>6700</v>
      </c>
      <c r="CV22" s="72">
        <f t="shared" si="7"/>
        <v>5</v>
      </c>
      <c r="CW22" s="13">
        <f t="shared" si="8"/>
        <v>18200</v>
      </c>
      <c r="CX22" s="72"/>
      <c r="CY22" s="13"/>
      <c r="CZ22" s="80"/>
      <c r="DA22" s="16"/>
      <c r="DB22" s="72"/>
      <c r="DC22" s="13"/>
      <c r="DD22" s="14"/>
      <c r="DE22" s="15"/>
      <c r="DF22" s="35">
        <f t="shared" si="6"/>
        <v>98</v>
      </c>
      <c r="DG22" s="15">
        <f t="shared" si="3"/>
        <v>416113</v>
      </c>
      <c r="DH22" s="26">
        <f>DF22+71</f>
        <v>169</v>
      </c>
      <c r="DI22" s="15">
        <f>DG22+307550</f>
        <v>723663</v>
      </c>
      <c r="DJ22" s="141"/>
      <c r="DK22" s="141"/>
    </row>
    <row r="23" spans="1:115" ht="30" hidden="1" customHeight="1" x14ac:dyDescent="0.25">
      <c r="A23" s="97" t="s">
        <v>64</v>
      </c>
      <c r="B23" s="12">
        <v>4</v>
      </c>
      <c r="C23" s="13">
        <v>9640</v>
      </c>
      <c r="D23" s="108">
        <v>1</v>
      </c>
      <c r="E23" s="100">
        <v>1500</v>
      </c>
      <c r="F23" s="114">
        <v>2</v>
      </c>
      <c r="G23" s="115">
        <v>3300</v>
      </c>
      <c r="H23" s="101">
        <v>2</v>
      </c>
      <c r="I23" s="100">
        <v>4800</v>
      </c>
      <c r="J23" s="101">
        <v>4</v>
      </c>
      <c r="K23" s="100">
        <v>7700</v>
      </c>
      <c r="L23" s="101">
        <v>2</v>
      </c>
      <c r="M23" s="100">
        <v>4450</v>
      </c>
      <c r="N23" s="101">
        <v>4</v>
      </c>
      <c r="O23" s="100">
        <v>8530</v>
      </c>
      <c r="P23" s="101">
        <v>8</v>
      </c>
      <c r="Q23" s="100">
        <v>21000</v>
      </c>
      <c r="R23" s="101">
        <v>6</v>
      </c>
      <c r="S23" s="100">
        <v>11700</v>
      </c>
      <c r="T23" s="102">
        <v>6</v>
      </c>
      <c r="U23" s="100">
        <v>16100</v>
      </c>
      <c r="V23" s="99">
        <v>11</v>
      </c>
      <c r="W23" s="100">
        <v>23300</v>
      </c>
      <c r="X23" s="99">
        <v>4</v>
      </c>
      <c r="Y23" s="100">
        <v>9000</v>
      </c>
      <c r="Z23" s="101">
        <v>4</v>
      </c>
      <c r="AA23" s="100">
        <v>9500</v>
      </c>
      <c r="AB23" s="101">
        <v>4</v>
      </c>
      <c r="AC23" s="100">
        <v>11500</v>
      </c>
      <c r="AD23" s="103">
        <v>3</v>
      </c>
      <c r="AE23" s="100">
        <v>7000</v>
      </c>
      <c r="AF23" s="101">
        <v>3</v>
      </c>
      <c r="AG23" s="100">
        <v>4755</v>
      </c>
      <c r="AH23" s="101">
        <v>4</v>
      </c>
      <c r="AI23" s="100">
        <v>8360</v>
      </c>
      <c r="AJ23" s="101">
        <v>9</v>
      </c>
      <c r="AK23" s="100">
        <v>16600</v>
      </c>
      <c r="AL23" s="101">
        <v>6</v>
      </c>
      <c r="AM23" s="100">
        <v>9858</v>
      </c>
      <c r="AN23" s="101">
        <v>3</v>
      </c>
      <c r="AO23" s="100">
        <v>8300</v>
      </c>
      <c r="AP23" s="101">
        <v>6</v>
      </c>
      <c r="AQ23" s="100">
        <v>13650</v>
      </c>
      <c r="AR23" s="101">
        <v>2</v>
      </c>
      <c r="AS23" s="100">
        <v>5200</v>
      </c>
      <c r="AT23" s="101">
        <v>4</v>
      </c>
      <c r="AU23" s="100">
        <v>8300</v>
      </c>
      <c r="AV23" s="102">
        <v>2</v>
      </c>
      <c r="AW23" s="100">
        <v>3000</v>
      </c>
      <c r="AX23" s="101">
        <v>6</v>
      </c>
      <c r="AY23" s="100">
        <v>12736</v>
      </c>
      <c r="AZ23" s="101">
        <v>2</v>
      </c>
      <c r="BA23" s="100">
        <v>4600</v>
      </c>
      <c r="BB23" s="101">
        <v>6</v>
      </c>
      <c r="BC23" s="100">
        <v>10800</v>
      </c>
      <c r="BD23" s="101">
        <v>4</v>
      </c>
      <c r="BE23" s="100">
        <v>6900</v>
      </c>
      <c r="BF23" s="101">
        <v>3</v>
      </c>
      <c r="BG23" s="100">
        <v>5250</v>
      </c>
      <c r="BH23" s="101">
        <v>3</v>
      </c>
      <c r="BI23" s="100">
        <v>7140</v>
      </c>
      <c r="BJ23" s="45">
        <v>3</v>
      </c>
      <c r="BK23" s="13">
        <v>7000</v>
      </c>
      <c r="BL23" s="45">
        <v>3</v>
      </c>
      <c r="BM23" s="13">
        <v>4900</v>
      </c>
      <c r="BN23" s="102">
        <v>1</v>
      </c>
      <c r="BO23" s="100">
        <v>2000</v>
      </c>
      <c r="BP23" s="126">
        <v>4</v>
      </c>
      <c r="BQ23" s="58">
        <v>8610</v>
      </c>
      <c r="BR23" s="97">
        <v>1</v>
      </c>
      <c r="BS23" s="133">
        <v>3000</v>
      </c>
      <c r="BT23" s="101">
        <v>4</v>
      </c>
      <c r="BU23" s="98">
        <v>8500</v>
      </c>
      <c r="BV23" s="101">
        <v>1</v>
      </c>
      <c r="BW23" s="100">
        <v>1200</v>
      </c>
      <c r="BX23" s="103">
        <v>2</v>
      </c>
      <c r="BY23" s="100">
        <v>4000</v>
      </c>
      <c r="BZ23" s="101">
        <v>3</v>
      </c>
      <c r="CA23" s="100">
        <v>5100</v>
      </c>
      <c r="CB23" s="114">
        <v>2</v>
      </c>
      <c r="CC23" s="115">
        <v>3560</v>
      </c>
      <c r="CD23" s="101"/>
      <c r="CE23" s="100"/>
      <c r="CF23" s="101">
        <v>2</v>
      </c>
      <c r="CG23" s="100">
        <v>4500</v>
      </c>
      <c r="CH23" s="101">
        <v>2</v>
      </c>
      <c r="CI23" s="100">
        <v>4900</v>
      </c>
      <c r="CJ23" s="101">
        <v>2</v>
      </c>
      <c r="CK23" s="100">
        <v>4100</v>
      </c>
      <c r="CL23" s="103">
        <v>6</v>
      </c>
      <c r="CM23" s="100">
        <v>10750</v>
      </c>
      <c r="CN23" s="103">
        <v>3</v>
      </c>
      <c r="CO23" s="100">
        <v>5400</v>
      </c>
      <c r="CP23" s="101">
        <v>2</v>
      </c>
      <c r="CQ23" s="100">
        <v>2300</v>
      </c>
      <c r="CR23" s="101">
        <v>2</v>
      </c>
      <c r="CS23" s="100">
        <v>5000</v>
      </c>
      <c r="CT23" s="101">
        <v>5</v>
      </c>
      <c r="CU23" s="100">
        <v>11600</v>
      </c>
      <c r="CV23" s="72">
        <f t="shared" si="7"/>
        <v>12</v>
      </c>
      <c r="CW23" s="13">
        <f t="shared" si="8"/>
        <v>24300</v>
      </c>
      <c r="CX23" s="72"/>
      <c r="CY23" s="13"/>
      <c r="CZ23" s="97"/>
      <c r="DA23" s="100"/>
      <c r="DB23" s="72"/>
      <c r="DC23" s="13"/>
      <c r="DD23" s="104"/>
      <c r="DE23" s="31"/>
      <c r="DF23" s="35">
        <f t="shared" si="6"/>
        <v>176</v>
      </c>
      <c r="DG23" s="15">
        <f t="shared" si="3"/>
        <v>370889</v>
      </c>
      <c r="DH23" s="30">
        <f>DF23+558</f>
        <v>734</v>
      </c>
      <c r="DI23" s="31">
        <f>DG23+1187337</f>
        <v>1558226</v>
      </c>
      <c r="DJ23" s="141"/>
      <c r="DK23" s="141"/>
    </row>
    <row r="24" spans="1:115" ht="23.25" hidden="1" customHeight="1" x14ac:dyDescent="0.25">
      <c r="A24" s="97" t="s">
        <v>63</v>
      </c>
      <c r="B24" s="12">
        <v>3</v>
      </c>
      <c r="C24" s="13">
        <v>1300</v>
      </c>
      <c r="D24" s="108"/>
      <c r="E24" s="100"/>
      <c r="F24" s="114">
        <v>1</v>
      </c>
      <c r="G24" s="115">
        <v>200</v>
      </c>
      <c r="H24" s="101">
        <v>5</v>
      </c>
      <c r="I24" s="100">
        <v>2800</v>
      </c>
      <c r="J24" s="101">
        <v>3</v>
      </c>
      <c r="K24" s="100">
        <v>1700</v>
      </c>
      <c r="L24" s="101">
        <v>3</v>
      </c>
      <c r="M24" s="100">
        <v>2800</v>
      </c>
      <c r="N24" s="101">
        <v>2</v>
      </c>
      <c r="O24" s="100">
        <v>1300</v>
      </c>
      <c r="P24" s="101">
        <v>2</v>
      </c>
      <c r="Q24" s="100">
        <v>1500</v>
      </c>
      <c r="R24" s="101">
        <v>3</v>
      </c>
      <c r="S24" s="100">
        <v>2400</v>
      </c>
      <c r="T24" s="102">
        <v>3</v>
      </c>
      <c r="U24" s="100">
        <v>1854</v>
      </c>
      <c r="V24" s="99">
        <v>2</v>
      </c>
      <c r="W24" s="100">
        <v>800</v>
      </c>
      <c r="X24" s="99">
        <v>3</v>
      </c>
      <c r="Y24" s="100">
        <v>2900</v>
      </c>
      <c r="Z24" s="101">
        <v>5</v>
      </c>
      <c r="AA24" s="100">
        <v>3395</v>
      </c>
      <c r="AB24" s="101">
        <v>3</v>
      </c>
      <c r="AC24" s="100">
        <v>1850</v>
      </c>
      <c r="AD24" s="103">
        <v>3</v>
      </c>
      <c r="AE24" s="100">
        <v>1600</v>
      </c>
      <c r="AF24" s="101">
        <v>2</v>
      </c>
      <c r="AG24" s="100">
        <v>1500</v>
      </c>
      <c r="AH24" s="101">
        <v>2</v>
      </c>
      <c r="AI24" s="100">
        <v>2000</v>
      </c>
      <c r="AJ24" s="101">
        <v>6</v>
      </c>
      <c r="AK24" s="100">
        <v>3305</v>
      </c>
      <c r="AL24" s="101">
        <v>7</v>
      </c>
      <c r="AM24" s="100">
        <v>3400</v>
      </c>
      <c r="AN24" s="101">
        <v>4</v>
      </c>
      <c r="AO24" s="100">
        <v>2800</v>
      </c>
      <c r="AP24" s="101">
        <v>5</v>
      </c>
      <c r="AQ24" s="100">
        <v>3450</v>
      </c>
      <c r="AR24" s="101">
        <v>8</v>
      </c>
      <c r="AS24" s="100">
        <v>4400</v>
      </c>
      <c r="AT24" s="101">
        <v>5</v>
      </c>
      <c r="AU24" s="100">
        <v>3300</v>
      </c>
      <c r="AV24" s="102">
        <v>3</v>
      </c>
      <c r="AW24" s="100">
        <v>1300</v>
      </c>
      <c r="AX24" s="101">
        <v>5</v>
      </c>
      <c r="AY24" s="100">
        <v>2364</v>
      </c>
      <c r="AZ24" s="101">
        <v>4</v>
      </c>
      <c r="BA24" s="100">
        <v>1100</v>
      </c>
      <c r="BB24" s="101">
        <v>6</v>
      </c>
      <c r="BC24" s="100">
        <v>3100</v>
      </c>
      <c r="BD24" s="101">
        <v>4</v>
      </c>
      <c r="BE24" s="100">
        <v>2500</v>
      </c>
      <c r="BF24" s="101">
        <v>5</v>
      </c>
      <c r="BG24" s="100">
        <v>2100</v>
      </c>
      <c r="BH24" s="101">
        <v>3</v>
      </c>
      <c r="BI24" s="100">
        <v>1400</v>
      </c>
      <c r="BJ24" s="45">
        <v>3</v>
      </c>
      <c r="BK24" s="13">
        <v>600</v>
      </c>
      <c r="BL24" s="45">
        <v>5</v>
      </c>
      <c r="BM24" s="13">
        <v>3200</v>
      </c>
      <c r="BN24" s="102">
        <v>4</v>
      </c>
      <c r="BO24" s="100">
        <v>2000</v>
      </c>
      <c r="BP24" s="278">
        <v>2</v>
      </c>
      <c r="BQ24" s="279">
        <v>790</v>
      </c>
      <c r="BR24" s="97">
        <v>2</v>
      </c>
      <c r="BS24" s="133">
        <v>1800</v>
      </c>
      <c r="BT24" s="101">
        <v>7</v>
      </c>
      <c r="BU24" s="98">
        <v>3200</v>
      </c>
      <c r="BV24" s="101">
        <v>3</v>
      </c>
      <c r="BW24" s="100">
        <v>670</v>
      </c>
      <c r="BX24" s="103">
        <v>5</v>
      </c>
      <c r="BY24" s="100">
        <v>2700</v>
      </c>
      <c r="BZ24" s="101">
        <v>3</v>
      </c>
      <c r="CA24" s="100">
        <v>800</v>
      </c>
      <c r="CB24" s="114">
        <v>4</v>
      </c>
      <c r="CC24" s="115">
        <v>1200</v>
      </c>
      <c r="CD24" s="97">
        <v>2</v>
      </c>
      <c r="CE24" s="100">
        <v>600</v>
      </c>
      <c r="CF24" s="101">
        <v>4</v>
      </c>
      <c r="CG24" s="100">
        <v>630</v>
      </c>
      <c r="CH24" s="101">
        <v>2</v>
      </c>
      <c r="CI24" s="100">
        <v>1080</v>
      </c>
      <c r="CJ24" s="101">
        <v>4</v>
      </c>
      <c r="CK24" s="100">
        <v>2500</v>
      </c>
      <c r="CL24" s="103">
        <v>3</v>
      </c>
      <c r="CM24" s="100">
        <v>2000</v>
      </c>
      <c r="CN24" s="103">
        <v>2</v>
      </c>
      <c r="CO24" s="100">
        <v>700</v>
      </c>
      <c r="CP24" s="101">
        <v>3</v>
      </c>
      <c r="CQ24" s="100">
        <v>1500</v>
      </c>
      <c r="CR24" s="101">
        <v>5</v>
      </c>
      <c r="CS24" s="100">
        <v>3290</v>
      </c>
      <c r="CT24" s="101">
        <v>7</v>
      </c>
      <c r="CU24" s="100">
        <v>4650</v>
      </c>
      <c r="CV24" s="72">
        <f t="shared" si="7"/>
        <v>17</v>
      </c>
      <c r="CW24" s="13">
        <f t="shared" si="8"/>
        <v>10140</v>
      </c>
      <c r="CX24" s="72"/>
      <c r="CY24" s="13"/>
      <c r="CZ24" s="97"/>
      <c r="DA24" s="100"/>
      <c r="DB24" s="72"/>
      <c r="DC24" s="13"/>
      <c r="DD24" s="104"/>
      <c r="DE24" s="31"/>
      <c r="DF24" s="35">
        <f t="shared" si="6"/>
        <v>180</v>
      </c>
      <c r="DG24" s="15">
        <f t="shared" si="3"/>
        <v>98328</v>
      </c>
      <c r="DH24" s="30">
        <f>DF24+2372</f>
        <v>2552</v>
      </c>
      <c r="DI24" s="31">
        <f>DG24+1610056</f>
        <v>1708384</v>
      </c>
      <c r="DJ24" s="141"/>
      <c r="DK24" s="141"/>
    </row>
    <row r="25" spans="1:115" s="161" customFormat="1" ht="15.75" hidden="1" customHeight="1" x14ac:dyDescent="0.25">
      <c r="A25" s="97" t="s">
        <v>60</v>
      </c>
      <c r="B25" s="178">
        <f>B22+B23+B24</f>
        <v>8</v>
      </c>
      <c r="C25" s="179">
        <f>C22+C23+C24</f>
        <v>14440</v>
      </c>
      <c r="D25" s="103">
        <f>SUM(D22:D24)</f>
        <v>3</v>
      </c>
      <c r="E25" s="103">
        <f>SUM(E22:E24)</f>
        <v>9679</v>
      </c>
      <c r="F25" s="103">
        <f>SUM(F22:F24)</f>
        <v>6</v>
      </c>
      <c r="G25" s="103">
        <f>SUM(G22:G24)</f>
        <v>15500</v>
      </c>
      <c r="H25" s="103">
        <f t="shared" ref="H25:L25" si="9">H22+H23+H24</f>
        <v>7</v>
      </c>
      <c r="I25" s="103">
        <f t="shared" si="9"/>
        <v>7600</v>
      </c>
      <c r="J25" s="103">
        <f t="shared" si="9"/>
        <v>9</v>
      </c>
      <c r="K25" s="103">
        <f t="shared" si="9"/>
        <v>17722</v>
      </c>
      <c r="L25" s="103">
        <f t="shared" si="9"/>
        <v>7</v>
      </c>
      <c r="M25" s="103">
        <f>M22+M23+M24</f>
        <v>13986</v>
      </c>
      <c r="N25" s="103">
        <f t="shared" ref="N25" si="10">N22+N23+N24</f>
        <v>9</v>
      </c>
      <c r="O25" s="103">
        <f t="shared" ref="O25:AA25" si="11">O22+O23+O24</f>
        <v>21430</v>
      </c>
      <c r="P25" s="103">
        <f t="shared" si="11"/>
        <v>12</v>
      </c>
      <c r="Q25" s="103">
        <f t="shared" si="11"/>
        <v>32500</v>
      </c>
      <c r="R25" s="103">
        <f t="shared" si="11"/>
        <v>10</v>
      </c>
      <c r="S25" s="103">
        <f t="shared" si="11"/>
        <v>19100</v>
      </c>
      <c r="T25" s="121">
        <f>T22+T23+T24</f>
        <v>12</v>
      </c>
      <c r="U25" s="121">
        <f t="shared" si="11"/>
        <v>32954</v>
      </c>
      <c r="V25" s="121">
        <f>V22+V23+V24</f>
        <v>19</v>
      </c>
      <c r="W25" s="121">
        <f t="shared" si="11"/>
        <v>51150</v>
      </c>
      <c r="X25" s="121">
        <f>X22+X23+X24</f>
        <v>13</v>
      </c>
      <c r="Y25" s="121">
        <f t="shared" si="11"/>
        <v>38400</v>
      </c>
      <c r="Z25" s="121">
        <f>Z22+Z23+Z24</f>
        <v>12</v>
      </c>
      <c r="AA25" s="121">
        <f t="shared" si="11"/>
        <v>27895</v>
      </c>
      <c r="AB25" s="121">
        <f>AB22+AB23+AB24</f>
        <v>11</v>
      </c>
      <c r="AC25" s="121">
        <f>AC22+AC23+AC24</f>
        <v>32120</v>
      </c>
      <c r="AD25" s="121">
        <f>AD22+AD23+AD24</f>
        <v>9</v>
      </c>
      <c r="AE25" s="121">
        <f>AE22+AE23+AE24</f>
        <v>20390</v>
      </c>
      <c r="AF25" s="103"/>
      <c r="AG25" s="103"/>
      <c r="AH25" s="103">
        <f t="shared" ref="AH25:CS25" si="12">AH24+AH23+AH22</f>
        <v>9</v>
      </c>
      <c r="AI25" s="103">
        <f t="shared" si="12"/>
        <v>24360</v>
      </c>
      <c r="AJ25" s="103">
        <f t="shared" si="12"/>
        <v>18</v>
      </c>
      <c r="AK25" s="103">
        <f t="shared" si="12"/>
        <v>31605</v>
      </c>
      <c r="AL25" s="103">
        <f t="shared" si="12"/>
        <v>14</v>
      </c>
      <c r="AM25" s="103">
        <f t="shared" si="12"/>
        <v>17204</v>
      </c>
      <c r="AN25" s="103">
        <f t="shared" si="12"/>
        <v>10</v>
      </c>
      <c r="AO25" s="103">
        <f t="shared" si="12"/>
        <v>24950</v>
      </c>
      <c r="AP25" s="103">
        <f t="shared" si="12"/>
        <v>13</v>
      </c>
      <c r="AQ25" s="103">
        <f t="shared" si="12"/>
        <v>25600</v>
      </c>
      <c r="AR25" s="103">
        <f t="shared" si="12"/>
        <v>10</v>
      </c>
      <c r="AS25" s="103">
        <f t="shared" si="12"/>
        <v>9600</v>
      </c>
      <c r="AT25" s="103">
        <f t="shared" si="12"/>
        <v>9</v>
      </c>
      <c r="AU25" s="103">
        <f t="shared" si="12"/>
        <v>11600</v>
      </c>
      <c r="AV25" s="103">
        <f t="shared" si="12"/>
        <v>7</v>
      </c>
      <c r="AW25" s="103">
        <f t="shared" si="12"/>
        <v>11800</v>
      </c>
      <c r="AX25" s="103">
        <f t="shared" si="12"/>
        <v>16</v>
      </c>
      <c r="AY25" s="103">
        <f t="shared" si="12"/>
        <v>37300</v>
      </c>
      <c r="AZ25" s="103">
        <f t="shared" si="12"/>
        <v>8</v>
      </c>
      <c r="BA25" s="103">
        <f t="shared" si="12"/>
        <v>12700</v>
      </c>
      <c r="BB25" s="103">
        <f t="shared" si="12"/>
        <v>13</v>
      </c>
      <c r="BC25" s="103">
        <f t="shared" si="12"/>
        <v>17900</v>
      </c>
      <c r="BD25" s="103">
        <f t="shared" si="12"/>
        <v>12</v>
      </c>
      <c r="BE25" s="103">
        <f t="shared" si="12"/>
        <v>24900</v>
      </c>
      <c r="BF25" s="103">
        <f t="shared" si="12"/>
        <v>11</v>
      </c>
      <c r="BG25" s="103">
        <f t="shared" si="12"/>
        <v>20350</v>
      </c>
      <c r="BH25" s="103">
        <f t="shared" si="12"/>
        <v>9</v>
      </c>
      <c r="BI25" s="103">
        <f>BI24+BI23+BI22</f>
        <v>20540</v>
      </c>
      <c r="BJ25" s="103">
        <f t="shared" si="12"/>
        <v>10</v>
      </c>
      <c r="BK25" s="103">
        <f t="shared" si="12"/>
        <v>24370</v>
      </c>
      <c r="BL25" s="103">
        <f t="shared" si="12"/>
        <v>8</v>
      </c>
      <c r="BM25" s="103">
        <f t="shared" si="12"/>
        <v>8100</v>
      </c>
      <c r="BN25" s="103">
        <f t="shared" si="12"/>
        <v>5</v>
      </c>
      <c r="BO25" s="103">
        <f t="shared" si="12"/>
        <v>4000</v>
      </c>
      <c r="BP25" s="103">
        <f t="shared" si="12"/>
        <v>7</v>
      </c>
      <c r="BQ25" s="103">
        <f t="shared" si="12"/>
        <v>14400</v>
      </c>
      <c r="BR25" s="103">
        <f t="shared" si="12"/>
        <v>5</v>
      </c>
      <c r="BS25" s="103">
        <f t="shared" si="12"/>
        <v>12800</v>
      </c>
      <c r="BT25" s="103">
        <f t="shared" si="12"/>
        <v>11</v>
      </c>
      <c r="BU25" s="103">
        <f>BU24+BU23+BU22</f>
        <v>11700</v>
      </c>
      <c r="BV25" s="103">
        <f t="shared" si="12"/>
        <v>6</v>
      </c>
      <c r="BW25" s="103">
        <f t="shared" si="12"/>
        <v>9870</v>
      </c>
      <c r="BX25" s="103">
        <f t="shared" si="12"/>
        <v>7</v>
      </c>
      <c r="BY25" s="103">
        <f t="shared" si="12"/>
        <v>6700</v>
      </c>
      <c r="BZ25" s="103">
        <f t="shared" si="12"/>
        <v>6</v>
      </c>
      <c r="CA25" s="103">
        <f t="shared" si="12"/>
        <v>5900</v>
      </c>
      <c r="CB25" s="121">
        <f t="shared" si="12"/>
        <v>9</v>
      </c>
      <c r="CC25" s="121">
        <f t="shared" si="12"/>
        <v>17260</v>
      </c>
      <c r="CD25" s="103">
        <f t="shared" si="12"/>
        <v>3</v>
      </c>
      <c r="CE25" s="103">
        <f t="shared" si="12"/>
        <v>5100</v>
      </c>
      <c r="CF25" s="103">
        <f t="shared" si="12"/>
        <v>7</v>
      </c>
      <c r="CG25" s="103">
        <f t="shared" si="12"/>
        <v>9130</v>
      </c>
      <c r="CH25" s="103">
        <f t="shared" si="12"/>
        <v>6</v>
      </c>
      <c r="CI25" s="103">
        <f t="shared" si="12"/>
        <v>14480</v>
      </c>
      <c r="CJ25" s="103">
        <f t="shared" si="12"/>
        <v>8</v>
      </c>
      <c r="CK25" s="103">
        <f t="shared" si="12"/>
        <v>15100</v>
      </c>
      <c r="CL25" s="103">
        <f t="shared" si="12"/>
        <v>11</v>
      </c>
      <c r="CM25" s="103">
        <f t="shared" si="12"/>
        <v>22250</v>
      </c>
      <c r="CN25" s="103">
        <f t="shared" si="12"/>
        <v>5</v>
      </c>
      <c r="CO25" s="103">
        <f t="shared" si="12"/>
        <v>6100</v>
      </c>
      <c r="CP25" s="103">
        <f t="shared" si="12"/>
        <v>6</v>
      </c>
      <c r="CQ25" s="103">
        <f t="shared" si="12"/>
        <v>7300</v>
      </c>
      <c r="CR25" s="103">
        <f t="shared" si="12"/>
        <v>9</v>
      </c>
      <c r="CS25" s="103">
        <f t="shared" si="12"/>
        <v>16290</v>
      </c>
      <c r="CT25" s="103">
        <f t="shared" ref="CT25:DE25" si="13">CT24+CT23+CT22</f>
        <v>14</v>
      </c>
      <c r="CU25" s="103">
        <f t="shared" si="13"/>
        <v>22950</v>
      </c>
      <c r="CV25" s="72">
        <f t="shared" ref="CV25:CV32" si="14">CN25+CP25+CR25+CT25</f>
        <v>34</v>
      </c>
      <c r="CW25" s="13">
        <f t="shared" ref="CW25:CW32" si="15">CO25+CQ25+CS25+CU25</f>
        <v>52640</v>
      </c>
      <c r="CX25" s="103">
        <f t="shared" si="13"/>
        <v>0</v>
      </c>
      <c r="CY25" s="103">
        <f t="shared" si="13"/>
        <v>0</v>
      </c>
      <c r="CZ25" s="103">
        <f t="shared" si="13"/>
        <v>0</v>
      </c>
      <c r="DA25" s="103">
        <f t="shared" si="13"/>
        <v>0</v>
      </c>
      <c r="DB25" s="103">
        <f t="shared" si="13"/>
        <v>0</v>
      </c>
      <c r="DC25" s="103">
        <f t="shared" si="13"/>
        <v>0</v>
      </c>
      <c r="DD25" s="103">
        <f t="shared" si="13"/>
        <v>0</v>
      </c>
      <c r="DE25" s="103">
        <f t="shared" si="13"/>
        <v>0</v>
      </c>
      <c r="DF25" s="103">
        <f>DF24+DF23+DF22</f>
        <v>454</v>
      </c>
      <c r="DG25" s="103">
        <f>DG24+DG23+DG22</f>
        <v>885330</v>
      </c>
      <c r="DH25" s="103">
        <f>DH24+DH23+DH22</f>
        <v>3455</v>
      </c>
      <c r="DI25" s="100">
        <f>DI24+DI23+DI22</f>
        <v>3990273</v>
      </c>
      <c r="DJ25" s="142"/>
      <c r="DK25" s="142"/>
    </row>
    <row r="26" spans="1:115" ht="50.25" hidden="1" customHeight="1" x14ac:dyDescent="0.25">
      <c r="A26" s="80" t="s">
        <v>59</v>
      </c>
      <c r="B26" s="12"/>
      <c r="C26" s="13"/>
      <c r="D26" s="109"/>
      <c r="E26" s="5"/>
      <c r="F26" s="60">
        <v>1</v>
      </c>
      <c r="G26" s="61">
        <v>1800</v>
      </c>
      <c r="H26" s="48"/>
      <c r="I26" s="5"/>
      <c r="J26" s="48">
        <v>1</v>
      </c>
      <c r="K26" s="5">
        <v>1300</v>
      </c>
      <c r="L26" s="48"/>
      <c r="M26" s="5"/>
      <c r="N26" s="48"/>
      <c r="O26" s="5"/>
      <c r="P26" s="48">
        <v>2</v>
      </c>
      <c r="Q26" s="5">
        <v>5000</v>
      </c>
      <c r="R26" s="48"/>
      <c r="S26" s="5"/>
      <c r="T26" s="65"/>
      <c r="U26" s="5"/>
      <c r="V26" s="41">
        <v>2</v>
      </c>
      <c r="W26" s="5">
        <v>6250</v>
      </c>
      <c r="X26" s="41">
        <v>1</v>
      </c>
      <c r="Y26" s="5">
        <v>5000</v>
      </c>
      <c r="Z26" s="48">
        <v>4</v>
      </c>
      <c r="AA26" s="5">
        <v>18000</v>
      </c>
      <c r="AB26" s="48">
        <v>1</v>
      </c>
      <c r="AC26" s="5">
        <v>350</v>
      </c>
      <c r="AD26" s="74"/>
      <c r="AE26" s="5"/>
      <c r="AF26" s="48">
        <v>1</v>
      </c>
      <c r="AG26" s="5">
        <v>500</v>
      </c>
      <c r="AH26" s="48">
        <v>3</v>
      </c>
      <c r="AI26" s="5">
        <v>6000</v>
      </c>
      <c r="AJ26" s="48">
        <v>2</v>
      </c>
      <c r="AK26" s="5">
        <v>1175</v>
      </c>
      <c r="AL26" s="48">
        <v>2</v>
      </c>
      <c r="AM26" s="5">
        <v>1800</v>
      </c>
      <c r="AN26" s="48"/>
      <c r="AO26" s="5"/>
      <c r="AP26" s="48">
        <v>4</v>
      </c>
      <c r="AQ26" s="5">
        <v>8350</v>
      </c>
      <c r="AR26" s="48">
        <v>1</v>
      </c>
      <c r="AS26" s="5">
        <v>1000</v>
      </c>
      <c r="AT26" s="48"/>
      <c r="AU26" s="5"/>
      <c r="AV26" s="65"/>
      <c r="AW26" s="5"/>
      <c r="AX26" s="48">
        <v>2</v>
      </c>
      <c r="AY26" s="5">
        <v>1700</v>
      </c>
      <c r="AZ26" s="48">
        <v>1</v>
      </c>
      <c r="BA26" s="5">
        <v>200</v>
      </c>
      <c r="BB26" s="48">
        <v>2</v>
      </c>
      <c r="BC26" s="5">
        <v>5200</v>
      </c>
      <c r="BD26" s="48">
        <v>1</v>
      </c>
      <c r="BE26" s="5">
        <v>500</v>
      </c>
      <c r="BF26" s="48">
        <v>1</v>
      </c>
      <c r="BG26" s="5">
        <v>4000</v>
      </c>
      <c r="BH26" s="48"/>
      <c r="BI26" s="5"/>
      <c r="BJ26" s="48"/>
      <c r="BK26" s="5"/>
      <c r="BL26" s="48"/>
      <c r="BM26" s="5"/>
      <c r="BN26" s="65"/>
      <c r="BO26" s="5"/>
      <c r="BP26" s="127"/>
      <c r="BQ26" s="18"/>
      <c r="BR26" s="4">
        <v>1</v>
      </c>
      <c r="BS26" s="134">
        <v>800</v>
      </c>
      <c r="BT26" s="48">
        <v>1</v>
      </c>
      <c r="BU26" s="86">
        <v>1000</v>
      </c>
      <c r="BV26" s="48"/>
      <c r="BW26" s="5"/>
      <c r="BX26" s="94"/>
      <c r="BY26" s="61"/>
      <c r="BZ26" s="48"/>
      <c r="CA26" s="5"/>
      <c r="CB26" s="48"/>
      <c r="CC26" s="5"/>
      <c r="CD26" s="4"/>
      <c r="CE26" s="5"/>
      <c r="CF26" s="48"/>
      <c r="CG26" s="5"/>
      <c r="CH26" s="48"/>
      <c r="CI26" s="5"/>
      <c r="CJ26" s="48"/>
      <c r="CK26" s="5"/>
      <c r="CL26" s="74">
        <v>1</v>
      </c>
      <c r="CM26" s="5">
        <v>5000</v>
      </c>
      <c r="CN26" s="74"/>
      <c r="CO26" s="5"/>
      <c r="CP26" s="48">
        <v>1</v>
      </c>
      <c r="CQ26" s="5">
        <v>3500</v>
      </c>
      <c r="CR26" s="48">
        <v>1</v>
      </c>
      <c r="CS26" s="5">
        <v>2000</v>
      </c>
      <c r="CT26" s="48"/>
      <c r="CU26" s="5"/>
      <c r="CV26" s="112">
        <f t="shared" si="14"/>
        <v>2</v>
      </c>
      <c r="CW26" s="86">
        <f t="shared" si="15"/>
        <v>5500</v>
      </c>
      <c r="CX26" s="112"/>
      <c r="CY26" s="86"/>
      <c r="CZ26" s="4"/>
      <c r="DA26" s="5"/>
      <c r="DB26" s="112"/>
      <c r="DC26" s="86"/>
      <c r="DD26" s="6"/>
      <c r="DE26" s="7"/>
      <c r="DF26" s="51">
        <f>B26+CZ26+DD26+D26+F26+H26+J26+L26+N26+P26+R26+T26+V26+X26+Z26+AB26+AD26+AF26+AH26+AJ26+AL26+AN26+AP26+AR26+AT26+AV26+AX26+AZ26+BB26+BD26+BF26+BH26+BJ26+BL26+BN26+BP26+BR26+BT26+BV26+BX26+BZ26+CB26+CD26+CF26+CH26+CJ26+CL26+CN26+CP26+CR26+CT26+CX26</f>
        <v>37</v>
      </c>
      <c r="DG26" s="7">
        <f>C26+DA26+DE26+E26+G26+I26+K26+M26+O26+Q26+S26+U26+W26+Y26+AA26+AC26+AE26+AG26+AI26+AK26+AM26+AO26+AQ26+AS26+AU26+AW26+AY26+BA26+BC26+BE26+BG26+BI26+BK26+BM26+BO26+BQ26+BS26+BU26+BW26+BY26+CA26+CC26+CE26+CG26+CI26+CK26+CM26+CO26+CQ26+CS26+CU26+CY26</f>
        <v>80425</v>
      </c>
      <c r="DH26" s="27">
        <f>DF26+184</f>
        <v>221</v>
      </c>
      <c r="DI26" s="7">
        <f>DG26+189599</f>
        <v>270024</v>
      </c>
      <c r="DJ26" s="142"/>
      <c r="DK26" s="142"/>
    </row>
    <row r="27" spans="1:115" hidden="1" x14ac:dyDescent="0.25">
      <c r="A27" s="4" t="s">
        <v>6</v>
      </c>
      <c r="B27" s="12"/>
      <c r="C27" s="13"/>
      <c r="D27" s="109"/>
      <c r="E27" s="5"/>
      <c r="F27" s="48"/>
      <c r="G27" s="5"/>
      <c r="H27" s="48"/>
      <c r="I27" s="5"/>
      <c r="J27" s="48"/>
      <c r="K27" s="5"/>
      <c r="L27" s="48"/>
      <c r="M27" s="5"/>
      <c r="N27" s="48"/>
      <c r="O27" s="5"/>
      <c r="P27" s="48"/>
      <c r="Q27" s="5"/>
      <c r="R27" s="48"/>
      <c r="S27" s="5"/>
      <c r="T27" s="65"/>
      <c r="U27" s="5"/>
      <c r="V27" s="41"/>
      <c r="W27" s="5"/>
      <c r="X27" s="41"/>
      <c r="Y27" s="5"/>
      <c r="Z27" s="48"/>
      <c r="AA27" s="5"/>
      <c r="AB27" s="48"/>
      <c r="AC27" s="5"/>
      <c r="AD27" s="74"/>
      <c r="AE27" s="5"/>
      <c r="AF27" s="48"/>
      <c r="AG27" s="5"/>
      <c r="AH27" s="48"/>
      <c r="AI27" s="5"/>
      <c r="AJ27" s="48"/>
      <c r="AK27" s="5"/>
      <c r="AL27" s="48"/>
      <c r="AM27" s="5"/>
      <c r="AN27" s="48"/>
      <c r="AO27" s="5"/>
      <c r="AP27" s="48"/>
      <c r="AQ27" s="5"/>
      <c r="AR27" s="48"/>
      <c r="AS27" s="5"/>
      <c r="AT27" s="48"/>
      <c r="AU27" s="5"/>
      <c r="AV27" s="65"/>
      <c r="AW27" s="5"/>
      <c r="AX27" s="48"/>
      <c r="AY27" s="5"/>
      <c r="AZ27" s="48"/>
      <c r="BA27" s="5"/>
      <c r="BB27" s="48"/>
      <c r="BC27" s="5"/>
      <c r="BD27" s="48"/>
      <c r="BE27" s="5"/>
      <c r="BF27" s="48"/>
      <c r="BG27" s="5"/>
      <c r="BH27" s="48"/>
      <c r="BI27" s="5"/>
      <c r="BJ27" s="48"/>
      <c r="BK27" s="5"/>
      <c r="BL27" s="48"/>
      <c r="BM27" s="5"/>
      <c r="BN27" s="65"/>
      <c r="BO27" s="5"/>
      <c r="BP27" s="128"/>
      <c r="BQ27" s="18"/>
      <c r="BR27" s="4"/>
      <c r="BS27" s="4"/>
      <c r="BT27" s="48"/>
      <c r="BU27" s="86"/>
      <c r="BV27" s="48"/>
      <c r="BW27" s="5"/>
      <c r="BX27" s="74"/>
      <c r="BY27" s="5"/>
      <c r="BZ27" s="48"/>
      <c r="CA27" s="5"/>
      <c r="CB27" s="48"/>
      <c r="CC27" s="5"/>
      <c r="CD27" s="4"/>
      <c r="CE27" s="5"/>
      <c r="CF27" s="48"/>
      <c r="CG27" s="5"/>
      <c r="CH27" s="48"/>
      <c r="CI27" s="5"/>
      <c r="CJ27" s="48"/>
      <c r="CK27" s="5"/>
      <c r="CL27" s="74"/>
      <c r="CM27" s="5"/>
      <c r="CN27" s="74"/>
      <c r="CO27" s="5"/>
      <c r="CP27" s="48"/>
      <c r="CQ27" s="5"/>
      <c r="CR27" s="48"/>
      <c r="CS27" s="5"/>
      <c r="CT27" s="48"/>
      <c r="CU27" s="5"/>
      <c r="CV27" s="112">
        <f t="shared" si="14"/>
        <v>0</v>
      </c>
      <c r="CW27" s="86">
        <f t="shared" si="15"/>
        <v>0</v>
      </c>
      <c r="CX27" s="112"/>
      <c r="CY27" s="86"/>
      <c r="CZ27" s="4"/>
      <c r="DA27" s="5"/>
      <c r="DB27" s="112"/>
      <c r="DC27" s="86"/>
      <c r="DD27" s="6"/>
      <c r="DE27" s="7"/>
      <c r="DF27" s="51">
        <f t="shared" ref="DF27:DF41" si="16">B27+CZ27+DD27+D27+F27+H27+J27+L27+N27+P27+R27+T27+V27+X27+Z27+AB27+AD27+AF27+AH27+AJ27+AL27+AN27+AP27+AR27+AT27+AV27+AX27+AZ27+BB27+BD27+BF27+BH27+BJ27+BL27+BN27+BP27+BR27+BT27+BV27+BX27+BZ27+CB27+CD27+CF27+CH27+CJ27+CL27+CN27+CP27+CR27+CT27+CX27</f>
        <v>0</v>
      </c>
      <c r="DG27" s="7">
        <f t="shared" ref="DG27:DG42" si="17">C27+DA27+DE27+E27+G27+I27+K27+M27+O27+Q27+S27+U27+W27+Y27+AA27+AC27+AE27+AG27+AI27+AK27+AM27+AO27+AQ27+AS27+AU27+AW27+AY27+BA27+BC27+BE27+BG27+BI27+BK27+BM27+BO27+BQ27+BS27+BU27+BW27+BY27+CA27+CC27+CE27+CG27+CI27+CK27+CM27+CO27+CQ27+CS27+CU27+CY27</f>
        <v>0</v>
      </c>
      <c r="DH27" s="27">
        <f>DF27+14</f>
        <v>14</v>
      </c>
      <c r="DI27" s="7">
        <f>DG27+3155</f>
        <v>3155</v>
      </c>
      <c r="DJ27" s="142"/>
      <c r="DK27" s="142"/>
    </row>
    <row r="28" spans="1:115" hidden="1" x14ac:dyDescent="0.25">
      <c r="A28" s="4" t="s">
        <v>7</v>
      </c>
      <c r="B28" s="12"/>
      <c r="C28" s="13"/>
      <c r="D28" s="109"/>
      <c r="E28" s="5"/>
      <c r="F28" s="48"/>
      <c r="G28" s="5"/>
      <c r="H28" s="48"/>
      <c r="I28" s="5"/>
      <c r="J28" s="48"/>
      <c r="K28" s="5"/>
      <c r="L28" s="48"/>
      <c r="M28" s="5"/>
      <c r="N28" s="48"/>
      <c r="O28" s="5"/>
      <c r="P28" s="48"/>
      <c r="Q28" s="5"/>
      <c r="R28" s="48"/>
      <c r="S28" s="5"/>
      <c r="T28" s="65"/>
      <c r="U28" s="5"/>
      <c r="V28" s="41"/>
      <c r="W28" s="5"/>
      <c r="X28" s="41"/>
      <c r="Y28" s="5"/>
      <c r="Z28" s="48"/>
      <c r="AA28" s="5"/>
      <c r="AB28" s="48"/>
      <c r="AC28" s="5"/>
      <c r="AD28" s="74"/>
      <c r="AE28" s="5"/>
      <c r="AF28" s="48"/>
      <c r="AG28" s="5"/>
      <c r="AH28" s="48"/>
      <c r="AI28" s="5"/>
      <c r="AJ28" s="48"/>
      <c r="AK28" s="5"/>
      <c r="AL28" s="48"/>
      <c r="AM28" s="5"/>
      <c r="AN28" s="48"/>
      <c r="AO28" s="5"/>
      <c r="AP28" s="48"/>
      <c r="AQ28" s="5"/>
      <c r="AR28" s="48"/>
      <c r="AS28" s="5"/>
      <c r="AT28" s="48"/>
      <c r="AU28" s="5"/>
      <c r="AV28" s="65"/>
      <c r="AW28" s="5"/>
      <c r="AX28" s="48"/>
      <c r="AY28" s="5"/>
      <c r="AZ28" s="48"/>
      <c r="BA28" s="5"/>
      <c r="BB28" s="48"/>
      <c r="BC28" s="5"/>
      <c r="BD28" s="48"/>
      <c r="BE28" s="5"/>
      <c r="BF28" s="48"/>
      <c r="BG28" s="5"/>
      <c r="BH28" s="48"/>
      <c r="BI28" s="5"/>
      <c r="BJ28" s="48"/>
      <c r="BK28" s="5"/>
      <c r="BL28" s="48"/>
      <c r="BM28" s="5"/>
      <c r="BN28" s="65"/>
      <c r="BO28" s="5"/>
      <c r="BP28" s="128"/>
      <c r="BQ28" s="18"/>
      <c r="BR28" s="4"/>
      <c r="BS28" s="4"/>
      <c r="BT28" s="48"/>
      <c r="BU28" s="86"/>
      <c r="BV28" s="48"/>
      <c r="BW28" s="5"/>
      <c r="BX28" s="74"/>
      <c r="BY28" s="5"/>
      <c r="BZ28" s="48"/>
      <c r="CA28" s="5"/>
      <c r="CB28" s="48"/>
      <c r="CC28" s="5"/>
      <c r="CD28" s="4"/>
      <c r="CE28" s="5"/>
      <c r="CF28" s="48"/>
      <c r="CG28" s="5"/>
      <c r="CH28" s="48"/>
      <c r="CI28" s="5"/>
      <c r="CJ28" s="48"/>
      <c r="CK28" s="5"/>
      <c r="CL28" s="74"/>
      <c r="CM28" s="5"/>
      <c r="CN28" s="74"/>
      <c r="CO28" s="5"/>
      <c r="CP28" s="48"/>
      <c r="CQ28" s="5"/>
      <c r="CR28" s="48"/>
      <c r="CS28" s="5"/>
      <c r="CT28" s="48"/>
      <c r="CU28" s="5"/>
      <c r="CV28" s="112">
        <f t="shared" si="14"/>
        <v>0</v>
      </c>
      <c r="CW28" s="86">
        <f t="shared" si="15"/>
        <v>0</v>
      </c>
      <c r="CX28" s="112"/>
      <c r="CY28" s="86"/>
      <c r="CZ28" s="4"/>
      <c r="DA28" s="5"/>
      <c r="DB28" s="112"/>
      <c r="DC28" s="86"/>
      <c r="DD28" s="6"/>
      <c r="DE28" s="7"/>
      <c r="DF28" s="51">
        <f t="shared" si="16"/>
        <v>0</v>
      </c>
      <c r="DG28" s="7">
        <f t="shared" si="17"/>
        <v>0</v>
      </c>
      <c r="DH28" s="27">
        <f>DF28</f>
        <v>0</v>
      </c>
      <c r="DI28" s="7">
        <f>DG28</f>
        <v>0</v>
      </c>
      <c r="DJ28" s="142"/>
      <c r="DK28" s="142"/>
    </row>
    <row r="29" spans="1:115" hidden="1" x14ac:dyDescent="0.25">
      <c r="A29" s="4" t="s">
        <v>8</v>
      </c>
      <c r="B29" s="12">
        <v>1</v>
      </c>
      <c r="C29" s="13">
        <v>2500</v>
      </c>
      <c r="D29" s="109"/>
      <c r="E29" s="5"/>
      <c r="F29" s="48"/>
      <c r="G29" s="5"/>
      <c r="H29" s="48"/>
      <c r="I29" s="5"/>
      <c r="J29" s="48"/>
      <c r="K29" s="5"/>
      <c r="L29" s="48">
        <v>2</v>
      </c>
      <c r="M29" s="5">
        <v>4450</v>
      </c>
      <c r="N29" s="48"/>
      <c r="O29" s="5"/>
      <c r="P29" s="48">
        <v>2</v>
      </c>
      <c r="Q29" s="5">
        <v>4100</v>
      </c>
      <c r="R29" s="48">
        <v>4</v>
      </c>
      <c r="S29" s="5">
        <v>7800</v>
      </c>
      <c r="T29" s="65">
        <v>1</v>
      </c>
      <c r="U29" s="5">
        <v>5000</v>
      </c>
      <c r="V29" s="41">
        <v>4</v>
      </c>
      <c r="W29" s="5">
        <v>9800</v>
      </c>
      <c r="X29" s="41">
        <v>3</v>
      </c>
      <c r="Y29" s="5">
        <v>7400</v>
      </c>
      <c r="Z29" s="48">
        <v>2</v>
      </c>
      <c r="AA29" s="5">
        <v>2800</v>
      </c>
      <c r="AB29" s="48">
        <v>3</v>
      </c>
      <c r="AC29" s="5">
        <v>10700</v>
      </c>
      <c r="AD29" s="74">
        <v>5</v>
      </c>
      <c r="AE29" s="5">
        <v>16790</v>
      </c>
      <c r="AF29" s="48">
        <v>1</v>
      </c>
      <c r="AG29" s="5">
        <v>1200</v>
      </c>
      <c r="AH29" s="48"/>
      <c r="AI29" s="5"/>
      <c r="AJ29" s="60">
        <v>3</v>
      </c>
      <c r="AK29" s="61">
        <v>7200</v>
      </c>
      <c r="AL29" s="48">
        <v>1</v>
      </c>
      <c r="AM29" s="5">
        <v>300</v>
      </c>
      <c r="AN29" s="48">
        <v>4</v>
      </c>
      <c r="AO29" s="5">
        <v>6800</v>
      </c>
      <c r="AP29" s="48">
        <v>3</v>
      </c>
      <c r="AQ29" s="5">
        <v>7000</v>
      </c>
      <c r="AR29" s="48"/>
      <c r="AS29" s="5"/>
      <c r="AT29" s="48">
        <v>2</v>
      </c>
      <c r="AU29" s="5">
        <v>3300</v>
      </c>
      <c r="AV29" s="65">
        <v>3</v>
      </c>
      <c r="AW29" s="5">
        <v>4300</v>
      </c>
      <c r="AX29" s="48">
        <v>1</v>
      </c>
      <c r="AY29" s="5">
        <v>2500</v>
      </c>
      <c r="AZ29" s="48">
        <v>2</v>
      </c>
      <c r="BA29" s="5">
        <v>2800</v>
      </c>
      <c r="BB29" s="48">
        <v>4</v>
      </c>
      <c r="BC29" s="5">
        <v>5500</v>
      </c>
      <c r="BD29" s="48">
        <v>4</v>
      </c>
      <c r="BE29" s="5">
        <v>10600</v>
      </c>
      <c r="BF29" s="48">
        <v>3</v>
      </c>
      <c r="BG29" s="5">
        <v>3100</v>
      </c>
      <c r="BH29" s="48">
        <v>2</v>
      </c>
      <c r="BI29" s="5">
        <v>8000</v>
      </c>
      <c r="BJ29" s="48">
        <v>4</v>
      </c>
      <c r="BK29" s="5">
        <v>10700</v>
      </c>
      <c r="BL29" s="48"/>
      <c r="BM29" s="5"/>
      <c r="BN29" s="65"/>
      <c r="BO29" s="5"/>
      <c r="BP29" s="128">
        <v>5</v>
      </c>
      <c r="BQ29" s="18">
        <v>6900</v>
      </c>
      <c r="BR29" s="127">
        <v>1</v>
      </c>
      <c r="BS29" s="5">
        <v>4500</v>
      </c>
      <c r="BT29" s="48">
        <v>2</v>
      </c>
      <c r="BU29" s="86">
        <v>3500</v>
      </c>
      <c r="BV29" s="48">
        <v>1</v>
      </c>
      <c r="BW29" s="5">
        <v>1200</v>
      </c>
      <c r="BX29" s="74">
        <v>2</v>
      </c>
      <c r="BY29" s="5">
        <v>1300</v>
      </c>
      <c r="BZ29" s="48">
        <v>1</v>
      </c>
      <c r="CA29" s="5">
        <v>200</v>
      </c>
      <c r="CB29" s="48">
        <v>2</v>
      </c>
      <c r="CC29" s="5">
        <v>6560</v>
      </c>
      <c r="CD29" s="4"/>
      <c r="CE29" s="5"/>
      <c r="CF29" s="48">
        <v>1</v>
      </c>
      <c r="CG29" s="5">
        <v>200</v>
      </c>
      <c r="CH29" s="48">
        <v>2</v>
      </c>
      <c r="CI29" s="5">
        <v>1080</v>
      </c>
      <c r="CJ29" s="48">
        <v>2</v>
      </c>
      <c r="CK29" s="5">
        <v>3800</v>
      </c>
      <c r="CL29" s="74">
        <v>3</v>
      </c>
      <c r="CM29" s="5">
        <v>4700</v>
      </c>
      <c r="CN29" s="74">
        <v>1</v>
      </c>
      <c r="CO29" s="5">
        <v>400</v>
      </c>
      <c r="CP29" s="48">
        <v>3</v>
      </c>
      <c r="CQ29" s="5">
        <v>2400</v>
      </c>
      <c r="CR29" s="48">
        <v>3</v>
      </c>
      <c r="CS29" s="5">
        <v>1740</v>
      </c>
      <c r="CT29" s="48">
        <v>3</v>
      </c>
      <c r="CU29" s="5">
        <v>7000</v>
      </c>
      <c r="CV29" s="112">
        <f t="shared" si="14"/>
        <v>10</v>
      </c>
      <c r="CW29" s="86">
        <f t="shared" si="15"/>
        <v>11540</v>
      </c>
      <c r="CX29" s="112"/>
      <c r="CY29" s="86"/>
      <c r="CZ29" s="4"/>
      <c r="DA29" s="5"/>
      <c r="DB29" s="112"/>
      <c r="DC29" s="86"/>
      <c r="DD29" s="6"/>
      <c r="DE29" s="7"/>
      <c r="DF29" s="51">
        <f t="shared" si="16"/>
        <v>96</v>
      </c>
      <c r="DG29" s="7">
        <f t="shared" si="17"/>
        <v>190120</v>
      </c>
      <c r="DH29" s="27">
        <f>DF29+524</f>
        <v>620</v>
      </c>
      <c r="DI29" s="7">
        <f>DG29+574469</f>
        <v>764589</v>
      </c>
      <c r="DJ29" s="142"/>
      <c r="DK29" s="142"/>
    </row>
    <row r="30" spans="1:115" hidden="1" x14ac:dyDescent="0.25">
      <c r="A30" s="4" t="s">
        <v>9</v>
      </c>
      <c r="B30" s="12"/>
      <c r="C30" s="13"/>
      <c r="D30" s="109"/>
      <c r="E30" s="5"/>
      <c r="F30" s="48"/>
      <c r="G30" s="5"/>
      <c r="H30" s="48"/>
      <c r="I30" s="5"/>
      <c r="J30" s="48"/>
      <c r="K30" s="5"/>
      <c r="L30" s="48"/>
      <c r="M30" s="5"/>
      <c r="N30" s="48"/>
      <c r="O30" s="5"/>
      <c r="P30" s="48"/>
      <c r="Q30" s="5"/>
      <c r="R30" s="48"/>
      <c r="S30" s="5"/>
      <c r="T30" s="65"/>
      <c r="U30" s="5"/>
      <c r="V30" s="41"/>
      <c r="W30" s="5"/>
      <c r="X30" s="41"/>
      <c r="Y30" s="5"/>
      <c r="Z30" s="48"/>
      <c r="AA30" s="5"/>
      <c r="AB30" s="48"/>
      <c r="AC30" s="5"/>
      <c r="AD30" s="74"/>
      <c r="AE30" s="5"/>
      <c r="AF30" s="48"/>
      <c r="AG30" s="5"/>
      <c r="AH30" s="48"/>
      <c r="AI30" s="5"/>
      <c r="AJ30" s="48"/>
      <c r="AK30" s="5"/>
      <c r="AL30" s="48">
        <v>1</v>
      </c>
      <c r="AM30" s="5">
        <v>2500</v>
      </c>
      <c r="AN30" s="48"/>
      <c r="AO30" s="5"/>
      <c r="AP30" s="48"/>
      <c r="AQ30" s="5"/>
      <c r="AR30" s="48">
        <v>1</v>
      </c>
      <c r="AS30" s="5">
        <v>300</v>
      </c>
      <c r="AT30" s="48"/>
      <c r="AU30" s="5"/>
      <c r="AV30" s="65"/>
      <c r="AW30" s="5"/>
      <c r="AX30" s="48"/>
      <c r="AY30" s="5"/>
      <c r="AZ30" s="48"/>
      <c r="BA30" s="5"/>
      <c r="BB30" s="48">
        <v>1</v>
      </c>
      <c r="BC30" s="5">
        <v>200</v>
      </c>
      <c r="BD30" s="48"/>
      <c r="BE30" s="5"/>
      <c r="BF30" s="48"/>
      <c r="BG30" s="5"/>
      <c r="BH30" s="48"/>
      <c r="BI30" s="5"/>
      <c r="BJ30" s="48"/>
      <c r="BK30" s="5"/>
      <c r="BL30" s="48"/>
      <c r="BM30" s="5"/>
      <c r="BN30" s="65"/>
      <c r="BO30" s="5"/>
      <c r="BP30" s="128"/>
      <c r="BQ30" s="18"/>
      <c r="BR30" s="4"/>
      <c r="BS30" s="4"/>
      <c r="BT30" s="48"/>
      <c r="BU30" s="86"/>
      <c r="BV30" s="48"/>
      <c r="BW30" s="5"/>
      <c r="BX30" s="74"/>
      <c r="BY30" s="5"/>
      <c r="BZ30" s="48"/>
      <c r="CA30" s="5"/>
      <c r="CB30" s="48"/>
      <c r="CC30" s="5"/>
      <c r="CD30" s="4"/>
      <c r="CE30" s="5"/>
      <c r="CF30" s="48"/>
      <c r="CG30" s="5"/>
      <c r="CH30" s="48"/>
      <c r="CI30" s="5"/>
      <c r="CJ30" s="48"/>
      <c r="CK30" s="5"/>
      <c r="CL30" s="74"/>
      <c r="CM30" s="5"/>
      <c r="CN30" s="74"/>
      <c r="CO30" s="5"/>
      <c r="CP30" s="48"/>
      <c r="CQ30" s="5"/>
      <c r="CR30" s="48"/>
      <c r="CS30" s="5"/>
      <c r="CT30" s="48"/>
      <c r="CU30" s="5"/>
      <c r="CV30" s="112">
        <f t="shared" si="14"/>
        <v>0</v>
      </c>
      <c r="CW30" s="86">
        <f t="shared" si="15"/>
        <v>0</v>
      </c>
      <c r="CX30" s="112"/>
      <c r="CY30" s="86"/>
      <c r="CZ30" s="4"/>
      <c r="DA30" s="5"/>
      <c r="DB30" s="112"/>
      <c r="DC30" s="86"/>
      <c r="DD30" s="6"/>
      <c r="DE30" s="7"/>
      <c r="DF30" s="51">
        <f>B30+CZ30+DD30+D30+F30+H30+J30+L30+N30+P30+R30+T30+V30+X30+Z30+AB30+AD30+AF30+AH30+AJ30+AL30+AN30+AP30+AR30+AT30+AV30+AX30+AZ30+BB30+BD30+BF30+BH30+BJ30+BL30+BN30+BP30+BR30+BT30+BV30+BX30+BZ30+CB30+CD30+CF30+CH30+CJ30+CL30+CN30+CP30+CR30+CT30+CX30</f>
        <v>3</v>
      </c>
      <c r="DG30" s="7">
        <f>C30+DA30+DE30+E30+G30+I30+K30+M30+O30+Q30+S30+U30+W30+Y30+AA30+AC30+AE30+AG30+AI30+AK30+AM30+AO30+AQ30+AS30+AU30+AW30+AY30+BA30+BC30+BE30+BG30+BI30+BK30+BM30+BO30+BQ30+BS30+BU30+BW30+BY30+CA30+CC30+CE30+CG30+CI30+CK30+CM30+CO30+CQ30+CS30+CU30+CY30</f>
        <v>3000</v>
      </c>
      <c r="DH30" s="27">
        <f>DF30+16</f>
        <v>19</v>
      </c>
      <c r="DI30" s="7">
        <f>DG30+15530</f>
        <v>18530</v>
      </c>
      <c r="DJ30" s="142"/>
      <c r="DK30" s="142"/>
    </row>
    <row r="31" spans="1:115" ht="31.5" hidden="1" x14ac:dyDescent="0.25">
      <c r="A31" s="4" t="s">
        <v>10</v>
      </c>
      <c r="B31" s="12"/>
      <c r="C31" s="13"/>
      <c r="D31" s="109"/>
      <c r="E31" s="5"/>
      <c r="F31" s="48"/>
      <c r="G31" s="5"/>
      <c r="H31" s="48"/>
      <c r="I31" s="5"/>
      <c r="J31" s="48"/>
      <c r="K31" s="5"/>
      <c r="L31" s="48"/>
      <c r="M31" s="5"/>
      <c r="N31" s="48"/>
      <c r="O31" s="5"/>
      <c r="P31" s="48"/>
      <c r="Q31" s="5"/>
      <c r="R31" s="48"/>
      <c r="S31" s="5"/>
      <c r="T31" s="65"/>
      <c r="U31" s="5"/>
      <c r="V31" s="41"/>
      <c r="W31" s="5"/>
      <c r="X31" s="41"/>
      <c r="Y31" s="5"/>
      <c r="Z31" s="48"/>
      <c r="AA31" s="5"/>
      <c r="AB31" s="48"/>
      <c r="AC31" s="5"/>
      <c r="AD31" s="74"/>
      <c r="AE31" s="5"/>
      <c r="AF31" s="48"/>
      <c r="AG31" s="5"/>
      <c r="AH31" s="48"/>
      <c r="AI31" s="5"/>
      <c r="AJ31" s="48"/>
      <c r="AK31" s="5"/>
      <c r="AL31" s="48"/>
      <c r="AM31" s="5"/>
      <c r="AN31" s="48"/>
      <c r="AO31" s="5"/>
      <c r="AP31" s="48"/>
      <c r="AQ31" s="5"/>
      <c r="AR31" s="48"/>
      <c r="AS31" s="5"/>
      <c r="AT31" s="48"/>
      <c r="AU31" s="5"/>
      <c r="AV31" s="65"/>
      <c r="AW31" s="5"/>
      <c r="AX31" s="48"/>
      <c r="AY31" s="5"/>
      <c r="AZ31" s="48"/>
      <c r="BA31" s="5"/>
      <c r="BB31" s="48"/>
      <c r="BC31" s="5"/>
      <c r="BD31" s="48"/>
      <c r="BE31" s="5"/>
      <c r="BF31" s="48"/>
      <c r="BG31" s="5"/>
      <c r="BH31" s="48"/>
      <c r="BI31" s="5"/>
      <c r="BJ31" s="48"/>
      <c r="BK31" s="5"/>
      <c r="BL31" s="48"/>
      <c r="BM31" s="5"/>
      <c r="BN31" s="65"/>
      <c r="BO31" s="5"/>
      <c r="BP31" s="128"/>
      <c r="BQ31" s="18"/>
      <c r="BR31" s="4"/>
      <c r="BS31" s="4"/>
      <c r="BT31" s="48"/>
      <c r="BU31" s="86"/>
      <c r="BV31" s="48"/>
      <c r="BW31" s="5"/>
      <c r="BX31" s="74"/>
      <c r="BY31" s="5"/>
      <c r="BZ31" s="48"/>
      <c r="CA31" s="5"/>
      <c r="CB31" s="48"/>
      <c r="CC31" s="5"/>
      <c r="CD31" s="4"/>
      <c r="CE31" s="5"/>
      <c r="CF31" s="48"/>
      <c r="CG31" s="5"/>
      <c r="CH31" s="48"/>
      <c r="CI31" s="5"/>
      <c r="CJ31" s="48"/>
      <c r="CK31" s="5"/>
      <c r="CL31" s="74"/>
      <c r="CM31" s="5"/>
      <c r="CN31" s="74"/>
      <c r="CO31" s="5"/>
      <c r="CP31" s="48"/>
      <c r="CQ31" s="5"/>
      <c r="CR31" s="48"/>
      <c r="CS31" s="5"/>
      <c r="CT31" s="48"/>
      <c r="CU31" s="5"/>
      <c r="CV31" s="112">
        <f t="shared" si="14"/>
        <v>0</v>
      </c>
      <c r="CW31" s="86">
        <f t="shared" si="15"/>
        <v>0</v>
      </c>
      <c r="CX31" s="112"/>
      <c r="CY31" s="86"/>
      <c r="CZ31" s="4"/>
      <c r="DA31" s="5"/>
      <c r="DB31" s="112"/>
      <c r="DC31" s="86"/>
      <c r="DD31" s="6"/>
      <c r="DE31" s="7"/>
      <c r="DF31" s="51">
        <f t="shared" si="16"/>
        <v>0</v>
      </c>
      <c r="DG31" s="7">
        <f t="shared" si="17"/>
        <v>0</v>
      </c>
      <c r="DH31" s="27">
        <f>DF31+7</f>
        <v>7</v>
      </c>
      <c r="DI31" s="7">
        <f>DG31+8450</f>
        <v>8450</v>
      </c>
      <c r="DJ31" s="142"/>
      <c r="DK31" s="142"/>
    </row>
    <row r="32" spans="1:115" hidden="1" x14ac:dyDescent="0.25">
      <c r="A32" s="4" t="s">
        <v>11</v>
      </c>
      <c r="B32" s="12"/>
      <c r="C32" s="13"/>
      <c r="D32" s="107">
        <v>1</v>
      </c>
      <c r="E32" s="16">
        <v>3179</v>
      </c>
      <c r="F32" s="48">
        <v>1</v>
      </c>
      <c r="G32" s="5">
        <v>4000</v>
      </c>
      <c r="H32" s="48">
        <v>1</v>
      </c>
      <c r="I32" s="5">
        <v>3000</v>
      </c>
      <c r="J32" s="48">
        <v>1</v>
      </c>
      <c r="K32" s="5">
        <v>2200</v>
      </c>
      <c r="L32" s="48"/>
      <c r="M32" s="5"/>
      <c r="N32" s="48">
        <v>1</v>
      </c>
      <c r="O32" s="5">
        <v>3100</v>
      </c>
      <c r="P32" s="48">
        <v>2</v>
      </c>
      <c r="Q32" s="5">
        <v>5400</v>
      </c>
      <c r="R32" s="48">
        <v>1</v>
      </c>
      <c r="S32" s="5">
        <v>1000</v>
      </c>
      <c r="T32" s="65">
        <v>4</v>
      </c>
      <c r="U32" s="5">
        <v>9250</v>
      </c>
      <c r="V32" s="41">
        <v>2</v>
      </c>
      <c r="W32" s="5">
        <v>4000</v>
      </c>
      <c r="X32" s="41">
        <v>1</v>
      </c>
      <c r="Y32" s="5">
        <v>1500</v>
      </c>
      <c r="Z32" s="48"/>
      <c r="AA32" s="5"/>
      <c r="AB32" s="48">
        <v>2</v>
      </c>
      <c r="AC32" s="5">
        <v>8000</v>
      </c>
      <c r="AD32" s="74">
        <v>1</v>
      </c>
      <c r="AE32" s="5">
        <v>800</v>
      </c>
      <c r="AF32" s="48">
        <v>1</v>
      </c>
      <c r="AG32" s="5">
        <v>1555</v>
      </c>
      <c r="AH32" s="48">
        <v>1</v>
      </c>
      <c r="AI32" s="5">
        <v>5000</v>
      </c>
      <c r="AJ32" s="48">
        <v>2</v>
      </c>
      <c r="AK32" s="5">
        <v>3680</v>
      </c>
      <c r="AL32" s="48">
        <v>2</v>
      </c>
      <c r="AM32" s="5">
        <v>2158</v>
      </c>
      <c r="AN32" s="48">
        <v>2</v>
      </c>
      <c r="AO32" s="5">
        <v>7350</v>
      </c>
      <c r="AP32" s="48">
        <v>1</v>
      </c>
      <c r="AQ32" s="5">
        <v>200</v>
      </c>
      <c r="AR32" s="48"/>
      <c r="AS32" s="5"/>
      <c r="AT32" s="48">
        <v>3</v>
      </c>
      <c r="AU32" s="5">
        <v>4700</v>
      </c>
      <c r="AV32" s="65">
        <v>1</v>
      </c>
      <c r="AW32" s="5">
        <v>4000</v>
      </c>
      <c r="AX32" s="48">
        <v>2</v>
      </c>
      <c r="AY32" s="5">
        <v>2000</v>
      </c>
      <c r="AZ32" s="48"/>
      <c r="BA32" s="5"/>
      <c r="BB32" s="48">
        <v>2</v>
      </c>
      <c r="BC32" s="5">
        <v>3600</v>
      </c>
      <c r="BD32" s="48"/>
      <c r="BE32" s="5"/>
      <c r="BF32" s="48">
        <v>1</v>
      </c>
      <c r="BG32" s="5">
        <v>4500</v>
      </c>
      <c r="BH32" s="48"/>
      <c r="BI32" s="5"/>
      <c r="BJ32" s="48"/>
      <c r="BK32" s="5"/>
      <c r="BL32" s="48">
        <v>2</v>
      </c>
      <c r="BM32" s="5">
        <v>2200</v>
      </c>
      <c r="BN32" s="65">
        <v>1</v>
      </c>
      <c r="BO32" s="5">
        <v>2000</v>
      </c>
      <c r="BP32" s="128"/>
      <c r="BQ32" s="18"/>
      <c r="BR32" s="4"/>
      <c r="BS32" s="4"/>
      <c r="BT32" s="48">
        <v>1</v>
      </c>
      <c r="BU32" s="86">
        <v>3000</v>
      </c>
      <c r="BV32" s="48">
        <v>2</v>
      </c>
      <c r="BW32" s="5">
        <v>4300</v>
      </c>
      <c r="BX32" s="74">
        <v>1</v>
      </c>
      <c r="BY32" s="5">
        <v>900</v>
      </c>
      <c r="BZ32" s="48">
        <v>2</v>
      </c>
      <c r="CA32" s="5">
        <v>2300</v>
      </c>
      <c r="CB32" s="48"/>
      <c r="CC32" s="5"/>
      <c r="CD32" s="4"/>
      <c r="CE32" s="5"/>
      <c r="CF32" s="48">
        <v>1</v>
      </c>
      <c r="CG32" s="5">
        <v>3000</v>
      </c>
      <c r="CH32" s="48">
        <v>1</v>
      </c>
      <c r="CI32" s="5">
        <v>3000</v>
      </c>
      <c r="CJ32" s="48">
        <v>1</v>
      </c>
      <c r="CK32" s="5">
        <v>4500</v>
      </c>
      <c r="CL32" s="74"/>
      <c r="CM32" s="5"/>
      <c r="CN32" s="74"/>
      <c r="CO32" s="5"/>
      <c r="CP32" s="48"/>
      <c r="CQ32" s="5"/>
      <c r="CR32" s="48">
        <v>2</v>
      </c>
      <c r="CS32" s="5">
        <v>4850</v>
      </c>
      <c r="CT32" s="48"/>
      <c r="CU32" s="5"/>
      <c r="CV32" s="112">
        <f t="shared" si="14"/>
        <v>2</v>
      </c>
      <c r="CW32" s="86">
        <f t="shared" si="15"/>
        <v>4850</v>
      </c>
      <c r="CX32" s="112"/>
      <c r="CY32" s="86"/>
      <c r="CZ32" s="4"/>
      <c r="DA32" s="5"/>
      <c r="DB32" s="112"/>
      <c r="DC32" s="86"/>
      <c r="DD32" s="6"/>
      <c r="DE32" s="7"/>
      <c r="DF32" s="51">
        <f t="shared" si="16"/>
        <v>50</v>
      </c>
      <c r="DG32" s="7">
        <f t="shared" si="17"/>
        <v>114222</v>
      </c>
      <c r="DH32" s="27">
        <f>DF32+197</f>
        <v>247</v>
      </c>
      <c r="DI32" s="7">
        <f>DG32+302570</f>
        <v>416792</v>
      </c>
      <c r="DJ32" s="142"/>
      <c r="DK32" s="142"/>
    </row>
    <row r="33" spans="1:115" ht="62.25" hidden="1" customHeight="1" x14ac:dyDescent="0.25">
      <c r="A33" s="4" t="s">
        <v>12</v>
      </c>
      <c r="B33" s="12">
        <v>5</v>
      </c>
      <c r="C33" s="13">
        <v>9440</v>
      </c>
      <c r="D33" s="108">
        <v>2</v>
      </c>
      <c r="E33" s="100">
        <v>6500</v>
      </c>
      <c r="F33" s="60">
        <v>4</v>
      </c>
      <c r="G33" s="61">
        <v>9700</v>
      </c>
      <c r="H33" s="60">
        <v>5</v>
      </c>
      <c r="I33" s="61">
        <v>4100</v>
      </c>
      <c r="J33" s="60">
        <v>1</v>
      </c>
      <c r="K33" s="61">
        <v>200</v>
      </c>
      <c r="L33" s="60">
        <v>3</v>
      </c>
      <c r="M33" s="61">
        <v>7536</v>
      </c>
      <c r="N33" s="60">
        <v>4</v>
      </c>
      <c r="O33" s="61">
        <v>6230</v>
      </c>
      <c r="P33" s="60">
        <v>3</v>
      </c>
      <c r="Q33" s="61">
        <v>8000</v>
      </c>
      <c r="R33" s="60">
        <v>4</v>
      </c>
      <c r="S33" s="61">
        <v>9000</v>
      </c>
      <c r="T33" s="93">
        <v>4</v>
      </c>
      <c r="U33" s="61">
        <v>8304</v>
      </c>
      <c r="V33" s="92">
        <v>5</v>
      </c>
      <c r="W33" s="61">
        <v>12100</v>
      </c>
      <c r="X33" s="92">
        <v>3</v>
      </c>
      <c r="Y33" s="61">
        <v>11500</v>
      </c>
      <c r="Z33" s="60">
        <v>5</v>
      </c>
      <c r="AA33" s="61">
        <v>6200</v>
      </c>
      <c r="AB33" s="60">
        <v>3</v>
      </c>
      <c r="AC33" s="61">
        <v>8270</v>
      </c>
      <c r="AD33" s="94">
        <v>1</v>
      </c>
      <c r="AE33" s="61">
        <v>650</v>
      </c>
      <c r="AF33" s="60">
        <v>2</v>
      </c>
      <c r="AG33" s="61">
        <v>3000</v>
      </c>
      <c r="AH33" s="60">
        <v>2</v>
      </c>
      <c r="AI33" s="61">
        <v>5160</v>
      </c>
      <c r="AJ33" s="60">
        <v>7</v>
      </c>
      <c r="AK33" s="61">
        <v>14100</v>
      </c>
      <c r="AL33" s="60">
        <v>4</v>
      </c>
      <c r="AM33" s="61">
        <v>2900</v>
      </c>
      <c r="AN33" s="60">
        <v>3</v>
      </c>
      <c r="AO33" s="61">
        <v>6800</v>
      </c>
      <c r="AP33" s="60">
        <v>3</v>
      </c>
      <c r="AQ33" s="61">
        <v>5650</v>
      </c>
      <c r="AR33" s="60">
        <v>7</v>
      </c>
      <c r="AS33" s="61">
        <v>7500</v>
      </c>
      <c r="AT33" s="60">
        <v>2</v>
      </c>
      <c r="AU33" s="61">
        <v>2300</v>
      </c>
      <c r="AV33" s="93">
        <v>2</v>
      </c>
      <c r="AW33" s="61">
        <v>2000</v>
      </c>
      <c r="AX33" s="60">
        <v>3</v>
      </c>
      <c r="AY33" s="61">
        <v>8200</v>
      </c>
      <c r="AZ33" s="60">
        <v>2</v>
      </c>
      <c r="BA33" s="61">
        <v>2200</v>
      </c>
      <c r="BB33" s="60">
        <v>2</v>
      </c>
      <c r="BC33" s="61">
        <v>2200</v>
      </c>
      <c r="BD33" s="60">
        <v>4</v>
      </c>
      <c r="BE33" s="61">
        <v>7800</v>
      </c>
      <c r="BF33" s="60">
        <v>3</v>
      </c>
      <c r="BG33" s="61">
        <v>5800</v>
      </c>
      <c r="BH33" s="60">
        <v>4</v>
      </c>
      <c r="BI33" s="61">
        <v>7340</v>
      </c>
      <c r="BJ33" s="60">
        <v>4</v>
      </c>
      <c r="BK33" s="61">
        <v>8670</v>
      </c>
      <c r="BL33" s="60">
        <v>2</v>
      </c>
      <c r="BM33" s="61">
        <v>1000</v>
      </c>
      <c r="BN33" s="93">
        <v>1</v>
      </c>
      <c r="BO33" s="61">
        <v>400</v>
      </c>
      <c r="BP33" s="129">
        <v>1</v>
      </c>
      <c r="BQ33" s="130">
        <v>2500</v>
      </c>
      <c r="BR33" s="93">
        <v>2</v>
      </c>
      <c r="BS33" s="61">
        <v>4000</v>
      </c>
      <c r="BT33" s="60">
        <v>2</v>
      </c>
      <c r="BU33" s="91">
        <v>500</v>
      </c>
      <c r="BV33" s="60"/>
      <c r="BW33" s="61"/>
      <c r="BX33" s="94">
        <v>3</v>
      </c>
      <c r="BY33" s="61">
        <v>4300</v>
      </c>
      <c r="BZ33" s="60">
        <v>1</v>
      </c>
      <c r="CA33" s="61">
        <v>2000</v>
      </c>
      <c r="CB33" s="60">
        <v>6</v>
      </c>
      <c r="CC33" s="61">
        <v>7200</v>
      </c>
      <c r="CD33" s="95">
        <v>1</v>
      </c>
      <c r="CE33" s="61">
        <v>400</v>
      </c>
      <c r="CF33" s="60">
        <v>5</v>
      </c>
      <c r="CG33" s="61">
        <v>5930</v>
      </c>
      <c r="CH33" s="60"/>
      <c r="CI33" s="61"/>
      <c r="CJ33" s="60">
        <v>2</v>
      </c>
      <c r="CK33" s="61">
        <v>1500</v>
      </c>
      <c r="CL33" s="94">
        <v>2</v>
      </c>
      <c r="CM33" s="61">
        <v>2050</v>
      </c>
      <c r="CN33" s="94">
        <v>3</v>
      </c>
      <c r="CO33" s="61">
        <v>5400</v>
      </c>
      <c r="CP33" s="60">
        <v>1</v>
      </c>
      <c r="CQ33" s="61">
        <v>300</v>
      </c>
      <c r="CR33" s="60">
        <v>2</v>
      </c>
      <c r="CS33" s="61">
        <v>3700</v>
      </c>
      <c r="CT33" s="60">
        <v>5</v>
      </c>
      <c r="CU33" s="61">
        <v>9500</v>
      </c>
      <c r="CV33" s="112">
        <f t="shared" ref="CV33:CV41" si="18">CN33+CP33+CR33+CT33</f>
        <v>11</v>
      </c>
      <c r="CW33" s="86">
        <f t="shared" ref="CW33:CW41" si="19">CO33+CQ33+CS33+CU33</f>
        <v>18900</v>
      </c>
      <c r="CX33" s="112"/>
      <c r="CY33" s="86"/>
      <c r="CZ33" s="95"/>
      <c r="DA33" s="61"/>
      <c r="DB33" s="112"/>
      <c r="DC33" s="86"/>
      <c r="DD33" s="96"/>
      <c r="DE33" s="33"/>
      <c r="DF33" s="51">
        <f>B33+CZ33+DD33+D33+F33+H33+J33+L33+N33+P33+R33+T33+V33+X33+Z33+AB33+AD33+AF33+AH33+AJ33+AL33+AN33+AP33+AR33+AT33+AV33+AX33+AZ33+BB33+BD33+BF33+BH33+BJ33+BL33+BN33+BP33+BR33+BT33+BV33+BX33+BZ33+CB33+CD33+CF33+CH33+CJ33+CL33+CN33+CP33+CR33+CT33+CX33</f>
        <v>145</v>
      </c>
      <c r="DG33" s="7">
        <f>C33+DA33+DE33+E33+G33+I33+K33+M33+O33+Q33+S33+U33+W33+Y33+AA33+AC33+AE33+AG33+AI33+AK33+AM33+AO33+AQ33+AS33+AU33+AW33+AY33+BA33+BC33+BE33+BG33+BI33+BK33+BM33+BO33+BQ33+BS33+BU33+BW33+BY33+CA33+CC33+CE33+CG33+CI33+CK33+CM33+CO33+CQ33+CS33+CU33+CY33</f>
        <v>250030</v>
      </c>
      <c r="DH33" s="32">
        <f>DF33+1397</f>
        <v>1542</v>
      </c>
      <c r="DI33" s="33">
        <f>DG33+1347893</f>
        <v>1597923</v>
      </c>
      <c r="DJ33" s="142"/>
      <c r="DK33" s="142"/>
    </row>
    <row r="34" spans="1:115" hidden="1" x14ac:dyDescent="0.25">
      <c r="A34" s="4" t="s">
        <v>13</v>
      </c>
      <c r="B34" s="12"/>
      <c r="C34" s="13"/>
      <c r="D34" s="109"/>
      <c r="E34" s="5"/>
      <c r="F34" s="48"/>
      <c r="G34" s="5"/>
      <c r="H34" s="48"/>
      <c r="I34" s="5"/>
      <c r="J34" s="48">
        <v>2</v>
      </c>
      <c r="K34" s="5">
        <v>1500</v>
      </c>
      <c r="L34" s="48"/>
      <c r="M34" s="5"/>
      <c r="N34" s="48"/>
      <c r="O34" s="5"/>
      <c r="P34" s="48"/>
      <c r="Q34" s="5"/>
      <c r="R34" s="48">
        <v>1</v>
      </c>
      <c r="S34" s="5">
        <v>1300</v>
      </c>
      <c r="T34" s="65"/>
      <c r="U34" s="5"/>
      <c r="V34" s="41">
        <v>1</v>
      </c>
      <c r="W34" s="5">
        <v>5000</v>
      </c>
      <c r="X34" s="41">
        <v>1</v>
      </c>
      <c r="Y34" s="5">
        <v>5000</v>
      </c>
      <c r="Z34" s="48"/>
      <c r="AA34" s="5"/>
      <c r="AB34" s="48"/>
      <c r="AC34" s="5"/>
      <c r="AD34" s="74"/>
      <c r="AE34" s="5"/>
      <c r="AF34" s="48"/>
      <c r="AG34" s="5"/>
      <c r="AH34" s="48">
        <v>1</v>
      </c>
      <c r="AI34" s="5">
        <v>5000</v>
      </c>
      <c r="AJ34" s="48">
        <v>1</v>
      </c>
      <c r="AK34" s="5">
        <v>1500</v>
      </c>
      <c r="AL34" s="48"/>
      <c r="AM34" s="5"/>
      <c r="AN34" s="48"/>
      <c r="AO34" s="5"/>
      <c r="AP34" s="48">
        <v>1</v>
      </c>
      <c r="AQ34" s="5">
        <v>2200</v>
      </c>
      <c r="AR34" s="48"/>
      <c r="AS34" s="5"/>
      <c r="AT34" s="48"/>
      <c r="AU34" s="5"/>
      <c r="AV34" s="65"/>
      <c r="AW34" s="5"/>
      <c r="AX34" s="48"/>
      <c r="AY34" s="5"/>
      <c r="AZ34" s="48">
        <v>1</v>
      </c>
      <c r="BA34" s="5">
        <v>3500</v>
      </c>
      <c r="BB34" s="48"/>
      <c r="BC34" s="5"/>
      <c r="BD34" s="48"/>
      <c r="BE34" s="5"/>
      <c r="BF34" s="48"/>
      <c r="BG34" s="5"/>
      <c r="BH34" s="48"/>
      <c r="BI34" s="5"/>
      <c r="BJ34" s="48">
        <v>1</v>
      </c>
      <c r="BK34" s="5">
        <v>3000</v>
      </c>
      <c r="BL34" s="48">
        <v>1</v>
      </c>
      <c r="BM34" s="5">
        <v>300</v>
      </c>
      <c r="BN34" s="65">
        <v>1</v>
      </c>
      <c r="BO34" s="5">
        <v>300</v>
      </c>
      <c r="BP34" s="128"/>
      <c r="BQ34" s="18"/>
      <c r="BR34" s="4"/>
      <c r="BS34" s="4"/>
      <c r="BT34" s="48"/>
      <c r="BU34" s="86"/>
      <c r="BV34" s="48">
        <v>1</v>
      </c>
      <c r="BW34" s="5">
        <v>200</v>
      </c>
      <c r="BX34" s="74"/>
      <c r="BY34" s="5"/>
      <c r="BZ34" s="48"/>
      <c r="CA34" s="5"/>
      <c r="CB34" s="48"/>
      <c r="CC34" s="5"/>
      <c r="CD34" s="4">
        <v>1</v>
      </c>
      <c r="CE34" s="5">
        <v>4500</v>
      </c>
      <c r="CF34" s="48"/>
      <c r="CG34" s="5"/>
      <c r="CH34" s="48">
        <v>1</v>
      </c>
      <c r="CI34" s="5">
        <v>4500</v>
      </c>
      <c r="CJ34" s="48">
        <v>1</v>
      </c>
      <c r="CK34" s="5">
        <v>1000</v>
      </c>
      <c r="CL34" s="74"/>
      <c r="CM34" s="5"/>
      <c r="CN34" s="74"/>
      <c r="CO34" s="5"/>
      <c r="CP34" s="48"/>
      <c r="CQ34" s="5"/>
      <c r="CR34" s="48"/>
      <c r="CS34" s="5"/>
      <c r="CT34" s="48"/>
      <c r="CU34" s="5"/>
      <c r="CV34" s="112">
        <f t="shared" si="18"/>
        <v>0</v>
      </c>
      <c r="CW34" s="86">
        <f t="shared" si="19"/>
        <v>0</v>
      </c>
      <c r="CX34" s="112"/>
      <c r="CY34" s="86"/>
      <c r="CZ34" s="4"/>
      <c r="DA34" s="5"/>
      <c r="DB34" s="112"/>
      <c r="DC34" s="86"/>
      <c r="DD34" s="6"/>
      <c r="DE34" s="7"/>
      <c r="DF34" s="51">
        <f t="shared" si="16"/>
        <v>16</v>
      </c>
      <c r="DG34" s="7">
        <f t="shared" si="17"/>
        <v>38800</v>
      </c>
      <c r="DH34" s="27">
        <f>DF34+62</f>
        <v>78</v>
      </c>
      <c r="DI34" s="7">
        <f>DG34+65330</f>
        <v>104130</v>
      </c>
      <c r="DJ34" s="142"/>
      <c r="DK34" s="142"/>
    </row>
    <row r="35" spans="1:115" ht="15" hidden="1" customHeight="1" x14ac:dyDescent="0.25">
      <c r="A35" s="164" t="s">
        <v>14</v>
      </c>
      <c r="B35" s="165">
        <v>2</v>
      </c>
      <c r="C35" s="120">
        <v>2500</v>
      </c>
      <c r="D35" s="166"/>
      <c r="E35" s="167"/>
      <c r="F35" s="168"/>
      <c r="G35" s="167"/>
      <c r="H35" s="168"/>
      <c r="I35" s="167"/>
      <c r="J35" s="168">
        <v>2</v>
      </c>
      <c r="K35" s="167">
        <v>5700</v>
      </c>
      <c r="L35" s="168"/>
      <c r="M35" s="167"/>
      <c r="N35" s="168">
        <v>3</v>
      </c>
      <c r="O35" s="167">
        <v>11500</v>
      </c>
      <c r="P35" s="168">
        <v>2</v>
      </c>
      <c r="Q35" s="167">
        <v>5000</v>
      </c>
      <c r="R35" s="168"/>
      <c r="S35" s="167"/>
      <c r="T35" s="169">
        <v>1</v>
      </c>
      <c r="U35" s="167">
        <v>5000</v>
      </c>
      <c r="V35" s="170">
        <v>2</v>
      </c>
      <c r="W35" s="167">
        <v>7500</v>
      </c>
      <c r="X35" s="170">
        <v>1</v>
      </c>
      <c r="Y35" s="167">
        <v>4500</v>
      </c>
      <c r="Z35" s="168"/>
      <c r="AA35" s="167"/>
      <c r="AB35" s="168">
        <v>1</v>
      </c>
      <c r="AC35" s="167">
        <v>4000</v>
      </c>
      <c r="AD35" s="171">
        <v>1</v>
      </c>
      <c r="AE35" s="167">
        <v>2000</v>
      </c>
      <c r="AF35" s="168"/>
      <c r="AG35" s="167"/>
      <c r="AH35" s="168">
        <v>1</v>
      </c>
      <c r="AI35" s="167">
        <v>1700</v>
      </c>
      <c r="AJ35" s="168">
        <v>2</v>
      </c>
      <c r="AK35" s="167">
        <v>1950</v>
      </c>
      <c r="AL35" s="168">
        <v>3</v>
      </c>
      <c r="AM35" s="167">
        <v>5546</v>
      </c>
      <c r="AN35" s="168">
        <v>1</v>
      </c>
      <c r="AO35" s="167">
        <v>4000</v>
      </c>
      <c r="AP35" s="168">
        <v>1</v>
      </c>
      <c r="AQ35" s="167">
        <v>2200</v>
      </c>
      <c r="AR35" s="168">
        <v>1</v>
      </c>
      <c r="AS35" s="167">
        <v>800</v>
      </c>
      <c r="AT35" s="168">
        <v>1</v>
      </c>
      <c r="AU35" s="167">
        <v>500</v>
      </c>
      <c r="AV35" s="169">
        <v>1</v>
      </c>
      <c r="AW35" s="167">
        <v>1500</v>
      </c>
      <c r="AX35" s="168">
        <v>6</v>
      </c>
      <c r="AY35" s="167">
        <v>21700</v>
      </c>
      <c r="AZ35" s="168"/>
      <c r="BA35" s="167"/>
      <c r="BB35" s="168"/>
      <c r="BC35" s="167"/>
      <c r="BD35" s="168">
        <v>1</v>
      </c>
      <c r="BE35" s="167">
        <v>4000</v>
      </c>
      <c r="BF35" s="168">
        <v>1</v>
      </c>
      <c r="BG35" s="167">
        <v>1650</v>
      </c>
      <c r="BH35" s="168">
        <v>1</v>
      </c>
      <c r="BI35" s="167">
        <v>200</v>
      </c>
      <c r="BJ35" s="168">
        <v>1</v>
      </c>
      <c r="BK35" s="167">
        <v>2000</v>
      </c>
      <c r="BL35" s="168">
        <v>1</v>
      </c>
      <c r="BM35" s="167">
        <v>2000</v>
      </c>
      <c r="BN35" s="169">
        <v>1</v>
      </c>
      <c r="BO35" s="167">
        <v>1000</v>
      </c>
      <c r="BP35" s="172">
        <v>1</v>
      </c>
      <c r="BQ35" s="173">
        <v>5000</v>
      </c>
      <c r="BR35" s="164">
        <v>1</v>
      </c>
      <c r="BS35" s="164">
        <v>3500</v>
      </c>
      <c r="BT35" s="168">
        <v>1</v>
      </c>
      <c r="BU35" s="174">
        <v>500</v>
      </c>
      <c r="BV35" s="168"/>
      <c r="BW35" s="167"/>
      <c r="BX35" s="171"/>
      <c r="BY35" s="167"/>
      <c r="BZ35" s="168">
        <v>2</v>
      </c>
      <c r="CA35" s="167">
        <v>1400</v>
      </c>
      <c r="CB35" s="168">
        <v>1</v>
      </c>
      <c r="CC35" s="167">
        <v>3500</v>
      </c>
      <c r="CD35" s="164"/>
      <c r="CE35" s="167"/>
      <c r="CF35" s="168"/>
      <c r="CG35" s="167"/>
      <c r="CH35" s="168">
        <v>2</v>
      </c>
      <c r="CI35" s="167">
        <v>5900</v>
      </c>
      <c r="CJ35" s="168">
        <v>2</v>
      </c>
      <c r="CK35" s="167">
        <v>4300</v>
      </c>
      <c r="CL35" s="171">
        <v>2</v>
      </c>
      <c r="CM35" s="167">
        <v>3000</v>
      </c>
      <c r="CN35" s="171"/>
      <c r="CO35" s="167"/>
      <c r="CP35" s="168">
        <v>1</v>
      </c>
      <c r="CQ35" s="167">
        <v>1100</v>
      </c>
      <c r="CR35" s="168">
        <v>1</v>
      </c>
      <c r="CS35" s="167">
        <v>4000</v>
      </c>
      <c r="CT35" s="168">
        <v>4</v>
      </c>
      <c r="CU35" s="167">
        <v>5700</v>
      </c>
      <c r="CV35" s="112">
        <f t="shared" si="18"/>
        <v>6</v>
      </c>
      <c r="CW35" s="86">
        <f t="shared" si="19"/>
        <v>10800</v>
      </c>
      <c r="CX35" s="175"/>
      <c r="CY35" s="174"/>
      <c r="CZ35" s="164"/>
      <c r="DA35" s="167"/>
      <c r="DB35" s="175"/>
      <c r="DC35" s="174"/>
      <c r="DD35" s="176"/>
      <c r="DE35" s="160"/>
      <c r="DF35" s="177">
        <f t="shared" si="16"/>
        <v>56</v>
      </c>
      <c r="DG35" s="160">
        <f t="shared" si="17"/>
        <v>136346</v>
      </c>
      <c r="DH35" s="143">
        <f>DF35+170</f>
        <v>226</v>
      </c>
      <c r="DI35" s="160">
        <f>DG35+222084</f>
        <v>358430</v>
      </c>
      <c r="DJ35" s="142"/>
      <c r="DK35" s="142"/>
    </row>
    <row r="36" spans="1:115" hidden="1" x14ac:dyDescent="0.25">
      <c r="A36" s="4" t="s">
        <v>15</v>
      </c>
      <c r="B36" s="12"/>
      <c r="C36" s="13"/>
      <c r="D36" s="109"/>
      <c r="E36" s="5"/>
      <c r="F36" s="48"/>
      <c r="G36" s="5"/>
      <c r="H36" s="48"/>
      <c r="I36" s="5"/>
      <c r="J36" s="162"/>
      <c r="K36" s="163"/>
      <c r="L36" s="48"/>
      <c r="M36" s="5"/>
      <c r="N36" s="48"/>
      <c r="O36" s="5"/>
      <c r="P36" s="48"/>
      <c r="Q36" s="5"/>
      <c r="R36" s="48"/>
      <c r="S36" s="5"/>
      <c r="T36" s="65"/>
      <c r="U36" s="5"/>
      <c r="V36" s="41"/>
      <c r="W36" s="5"/>
      <c r="X36" s="41"/>
      <c r="Y36" s="5"/>
      <c r="Z36" s="48"/>
      <c r="AA36" s="5"/>
      <c r="AB36" s="48"/>
      <c r="AC36" s="5"/>
      <c r="AD36" s="74"/>
      <c r="AE36" s="5"/>
      <c r="AF36" s="48"/>
      <c r="AG36" s="5"/>
      <c r="AH36" s="48"/>
      <c r="AI36" s="5"/>
      <c r="AJ36" s="48"/>
      <c r="AK36" s="5"/>
      <c r="AL36" s="48"/>
      <c r="AM36" s="5"/>
      <c r="AN36" s="48"/>
      <c r="AO36" s="5"/>
      <c r="AP36" s="48"/>
      <c r="AQ36" s="5"/>
      <c r="AR36" s="48"/>
      <c r="AS36" s="5"/>
      <c r="AT36" s="48"/>
      <c r="AU36" s="5"/>
      <c r="AV36" s="65"/>
      <c r="AW36" s="5"/>
      <c r="AX36" s="48"/>
      <c r="AY36" s="5"/>
      <c r="AZ36" s="48"/>
      <c r="BA36" s="5"/>
      <c r="BB36" s="48"/>
      <c r="BC36" s="5"/>
      <c r="BD36" s="48"/>
      <c r="BE36" s="5"/>
      <c r="BF36" s="48"/>
      <c r="BG36" s="5"/>
      <c r="BH36" s="48"/>
      <c r="BI36" s="5"/>
      <c r="BJ36" s="48"/>
      <c r="BK36" s="5"/>
      <c r="BL36" s="48"/>
      <c r="BM36" s="5"/>
      <c r="BN36" s="65"/>
      <c r="BO36" s="5"/>
      <c r="BP36" s="128"/>
      <c r="BQ36" s="18"/>
      <c r="BR36" s="4"/>
      <c r="BS36" s="4"/>
      <c r="BT36" s="48"/>
      <c r="BU36" s="86"/>
      <c r="BV36" s="48"/>
      <c r="BW36" s="5"/>
      <c r="BX36" s="74"/>
      <c r="BY36" s="5"/>
      <c r="BZ36" s="48"/>
      <c r="CA36" s="5"/>
      <c r="CB36" s="48"/>
      <c r="CC36" s="5"/>
      <c r="CD36" s="4"/>
      <c r="CE36" s="5"/>
      <c r="CF36" s="48"/>
      <c r="CG36" s="5"/>
      <c r="CH36" s="48"/>
      <c r="CI36" s="5"/>
      <c r="CJ36" s="48"/>
      <c r="CK36" s="5"/>
      <c r="CL36" s="74"/>
      <c r="CM36" s="5"/>
      <c r="CN36" s="74"/>
      <c r="CO36" s="5"/>
      <c r="CP36" s="48"/>
      <c r="CQ36" s="5"/>
      <c r="CR36" s="48"/>
      <c r="CS36" s="5"/>
      <c r="CT36" s="48"/>
      <c r="CU36" s="5"/>
      <c r="CV36" s="112">
        <f t="shared" si="18"/>
        <v>0</v>
      </c>
      <c r="CW36" s="86">
        <f t="shared" si="19"/>
        <v>0</v>
      </c>
      <c r="CX36" s="112"/>
      <c r="CY36" s="86"/>
      <c r="CZ36" s="4"/>
      <c r="DA36" s="5"/>
      <c r="DB36" s="112"/>
      <c r="DC36" s="86"/>
      <c r="DD36" s="6"/>
      <c r="DE36" s="7"/>
      <c r="DF36" s="51">
        <f t="shared" si="16"/>
        <v>0</v>
      </c>
      <c r="DG36" s="7">
        <f t="shared" si="17"/>
        <v>0</v>
      </c>
      <c r="DH36" s="27">
        <f>DF36+0</f>
        <v>0</v>
      </c>
      <c r="DI36" s="7">
        <f>DG36+0</f>
        <v>0</v>
      </c>
      <c r="DJ36" s="142"/>
      <c r="DK36" s="142"/>
    </row>
    <row r="37" spans="1:115" ht="30" hidden="1" customHeight="1" x14ac:dyDescent="0.25">
      <c r="A37" s="4" t="s">
        <v>16</v>
      </c>
      <c r="B37" s="12"/>
      <c r="C37" s="13"/>
      <c r="D37" s="109"/>
      <c r="E37" s="5"/>
      <c r="F37" s="48"/>
      <c r="G37" s="5"/>
      <c r="H37" s="48">
        <v>1</v>
      </c>
      <c r="I37" s="5">
        <v>500</v>
      </c>
      <c r="J37" s="48"/>
      <c r="K37" s="5"/>
      <c r="L37" s="48">
        <v>2</v>
      </c>
      <c r="M37" s="5">
        <v>2000</v>
      </c>
      <c r="N37" s="48">
        <v>1</v>
      </c>
      <c r="O37" s="5">
        <v>600</v>
      </c>
      <c r="P37" s="48"/>
      <c r="Q37" s="5"/>
      <c r="R37" s="48"/>
      <c r="S37" s="5"/>
      <c r="T37" s="65">
        <v>1</v>
      </c>
      <c r="U37" s="5">
        <v>5000</v>
      </c>
      <c r="V37" s="41"/>
      <c r="W37" s="5"/>
      <c r="X37" s="41"/>
      <c r="Y37" s="5"/>
      <c r="Z37" s="48">
        <v>1</v>
      </c>
      <c r="AA37" s="5">
        <v>895</v>
      </c>
      <c r="AB37" s="48"/>
      <c r="AC37" s="5"/>
      <c r="AD37" s="74"/>
      <c r="AE37" s="5"/>
      <c r="AF37" s="48"/>
      <c r="AG37" s="5"/>
      <c r="AH37" s="48"/>
      <c r="AI37" s="5"/>
      <c r="AJ37" s="48"/>
      <c r="AK37" s="5"/>
      <c r="AL37" s="48"/>
      <c r="AM37" s="5"/>
      <c r="AN37" s="48"/>
      <c r="AO37" s="5"/>
      <c r="AP37" s="48"/>
      <c r="AQ37" s="5"/>
      <c r="AR37" s="48"/>
      <c r="AS37" s="5"/>
      <c r="AT37" s="48">
        <v>1</v>
      </c>
      <c r="AU37" s="5">
        <v>800</v>
      </c>
      <c r="AV37" s="65"/>
      <c r="AW37" s="5"/>
      <c r="AX37" s="48">
        <v>1</v>
      </c>
      <c r="AY37" s="5">
        <v>1000</v>
      </c>
      <c r="AZ37" s="48">
        <v>1</v>
      </c>
      <c r="BA37" s="5">
        <v>500</v>
      </c>
      <c r="BB37" s="48">
        <v>1</v>
      </c>
      <c r="BC37" s="5">
        <v>1000</v>
      </c>
      <c r="BD37" s="48">
        <v>2</v>
      </c>
      <c r="BE37" s="5">
        <v>2000</v>
      </c>
      <c r="BF37" s="48">
        <v>1</v>
      </c>
      <c r="BG37" s="5">
        <v>200</v>
      </c>
      <c r="BH37" s="48">
        <v>1</v>
      </c>
      <c r="BI37" s="5">
        <v>2500</v>
      </c>
      <c r="BJ37" s="48"/>
      <c r="BK37" s="5"/>
      <c r="BL37" s="48"/>
      <c r="BM37" s="5"/>
      <c r="BN37" s="65"/>
      <c r="BO37" s="5"/>
      <c r="BP37" s="128"/>
      <c r="BQ37" s="18"/>
      <c r="BR37" s="65"/>
      <c r="BS37" s="5"/>
      <c r="BT37" s="48">
        <v>2</v>
      </c>
      <c r="BU37" s="86">
        <v>900</v>
      </c>
      <c r="BV37" s="48"/>
      <c r="BW37" s="5"/>
      <c r="BX37" s="74"/>
      <c r="BY37" s="5"/>
      <c r="BZ37" s="48"/>
      <c r="CA37" s="5"/>
      <c r="CB37" s="48"/>
      <c r="CC37" s="5"/>
      <c r="CD37" s="4"/>
      <c r="CE37" s="5"/>
      <c r="CF37" s="48"/>
      <c r="CG37" s="5"/>
      <c r="CH37" s="48"/>
      <c r="CI37" s="5"/>
      <c r="CJ37" s="48"/>
      <c r="CK37" s="5"/>
      <c r="CL37" s="74">
        <v>1</v>
      </c>
      <c r="CM37" s="5">
        <v>500</v>
      </c>
      <c r="CN37" s="74"/>
      <c r="CO37" s="5"/>
      <c r="CP37" s="48"/>
      <c r="CQ37" s="5"/>
      <c r="CR37" s="48"/>
      <c r="CS37" s="5"/>
      <c r="CT37" s="48">
        <v>1</v>
      </c>
      <c r="CU37" s="5">
        <v>250</v>
      </c>
      <c r="CV37" s="112">
        <f t="shared" si="18"/>
        <v>1</v>
      </c>
      <c r="CW37" s="86">
        <f t="shared" si="19"/>
        <v>250</v>
      </c>
      <c r="CX37" s="112"/>
      <c r="CY37" s="86"/>
      <c r="CZ37" s="4"/>
      <c r="DA37" s="5"/>
      <c r="DB37" s="112"/>
      <c r="DC37" s="86"/>
      <c r="DD37" s="6"/>
      <c r="DE37" s="7"/>
      <c r="DF37" s="51">
        <f t="shared" si="16"/>
        <v>18</v>
      </c>
      <c r="DG37" s="7">
        <f t="shared" si="17"/>
        <v>18645</v>
      </c>
      <c r="DH37" s="27">
        <f>DF37+129</f>
        <v>147</v>
      </c>
      <c r="DI37" s="7">
        <f>DG37+99430</f>
        <v>118075</v>
      </c>
      <c r="DJ37" s="142"/>
      <c r="DK37" s="142"/>
    </row>
    <row r="38" spans="1:115" ht="31.5" hidden="1" x14ac:dyDescent="0.25">
      <c r="A38" s="4" t="s">
        <v>17</v>
      </c>
      <c r="B38" s="12"/>
      <c r="C38" s="13"/>
      <c r="D38" s="109"/>
      <c r="E38" s="5"/>
      <c r="F38" s="48"/>
      <c r="G38" s="5"/>
      <c r="H38" s="48"/>
      <c r="I38" s="5"/>
      <c r="J38" s="48"/>
      <c r="K38" s="5"/>
      <c r="L38" s="48"/>
      <c r="M38" s="5"/>
      <c r="N38" s="48"/>
      <c r="O38" s="5"/>
      <c r="P38" s="48"/>
      <c r="Q38" s="5"/>
      <c r="R38" s="48"/>
      <c r="S38" s="5"/>
      <c r="T38" s="65"/>
      <c r="U38" s="5"/>
      <c r="V38" s="41"/>
      <c r="W38" s="5"/>
      <c r="X38" s="41"/>
      <c r="Y38" s="5"/>
      <c r="Z38" s="48"/>
      <c r="AA38" s="5"/>
      <c r="AB38" s="48"/>
      <c r="AC38" s="5"/>
      <c r="AD38" s="74"/>
      <c r="AE38" s="5"/>
      <c r="AF38" s="48"/>
      <c r="AG38" s="5"/>
      <c r="AH38" s="48"/>
      <c r="AI38" s="5"/>
      <c r="AJ38" s="48"/>
      <c r="AK38" s="5"/>
      <c r="AL38" s="48"/>
      <c r="AM38" s="5"/>
      <c r="AN38" s="48"/>
      <c r="AO38" s="5"/>
      <c r="AP38" s="48"/>
      <c r="AQ38" s="5"/>
      <c r="AR38" s="48"/>
      <c r="AS38" s="5"/>
      <c r="AT38" s="48"/>
      <c r="AU38" s="5"/>
      <c r="AV38" s="65"/>
      <c r="AW38" s="5"/>
      <c r="AX38" s="48"/>
      <c r="AY38" s="5"/>
      <c r="AZ38" s="48"/>
      <c r="BA38" s="5"/>
      <c r="BB38" s="48"/>
      <c r="BC38" s="5"/>
      <c r="BD38" s="48"/>
      <c r="BE38" s="5"/>
      <c r="BF38" s="48"/>
      <c r="BG38" s="5"/>
      <c r="BH38" s="48"/>
      <c r="BI38" s="5"/>
      <c r="BJ38" s="48"/>
      <c r="BK38" s="5"/>
      <c r="BL38" s="48"/>
      <c r="BM38" s="5"/>
      <c r="BN38" s="65"/>
      <c r="BO38" s="5"/>
      <c r="BP38" s="128"/>
      <c r="BQ38" s="18"/>
      <c r="BR38" s="4"/>
      <c r="BS38" s="4"/>
      <c r="BT38" s="48"/>
      <c r="BU38" s="86"/>
      <c r="BV38" s="48"/>
      <c r="BW38" s="5"/>
      <c r="BX38" s="74"/>
      <c r="BY38" s="5"/>
      <c r="BZ38" s="48"/>
      <c r="CA38" s="5"/>
      <c r="CB38" s="48"/>
      <c r="CC38" s="5"/>
      <c r="CD38" s="4"/>
      <c r="CE38" s="5"/>
      <c r="CF38" s="48"/>
      <c r="CG38" s="5"/>
      <c r="CH38" s="48"/>
      <c r="CI38" s="5"/>
      <c r="CJ38" s="48"/>
      <c r="CK38" s="5"/>
      <c r="CL38" s="74"/>
      <c r="CM38" s="5"/>
      <c r="CN38" s="74"/>
      <c r="CO38" s="5"/>
      <c r="CP38" s="48"/>
      <c r="CQ38" s="5"/>
      <c r="CR38" s="48"/>
      <c r="CS38" s="5"/>
      <c r="CT38" s="48"/>
      <c r="CU38" s="5"/>
      <c r="CV38" s="112">
        <f t="shared" si="18"/>
        <v>0</v>
      </c>
      <c r="CW38" s="86">
        <f t="shared" si="19"/>
        <v>0</v>
      </c>
      <c r="CX38" s="112"/>
      <c r="CY38" s="86"/>
      <c r="CZ38" s="4"/>
      <c r="DA38" s="5"/>
      <c r="DB38" s="112"/>
      <c r="DC38" s="86"/>
      <c r="DD38" s="6"/>
      <c r="DE38" s="7"/>
      <c r="DF38" s="51">
        <f t="shared" si="16"/>
        <v>0</v>
      </c>
      <c r="DG38" s="7">
        <f t="shared" si="17"/>
        <v>0</v>
      </c>
      <c r="DH38" s="27">
        <f>DF38</f>
        <v>0</v>
      </c>
      <c r="DI38" s="7">
        <f>DG38</f>
        <v>0</v>
      </c>
      <c r="DJ38" s="142"/>
      <c r="DK38" s="142"/>
    </row>
    <row r="39" spans="1:115" hidden="1" x14ac:dyDescent="0.25">
      <c r="A39" s="4" t="s">
        <v>18</v>
      </c>
      <c r="B39" s="12"/>
      <c r="C39" s="13"/>
      <c r="D39" s="109"/>
      <c r="E39" s="5"/>
      <c r="F39" s="48"/>
      <c r="G39" s="5"/>
      <c r="H39" s="48"/>
      <c r="I39" s="5"/>
      <c r="J39" s="48"/>
      <c r="K39" s="5"/>
      <c r="L39" s="48"/>
      <c r="M39" s="5"/>
      <c r="N39" s="48"/>
      <c r="O39" s="5"/>
      <c r="P39" s="48"/>
      <c r="Q39" s="5"/>
      <c r="R39" s="48"/>
      <c r="S39" s="5"/>
      <c r="T39" s="65"/>
      <c r="U39" s="5"/>
      <c r="V39" s="41"/>
      <c r="W39" s="5"/>
      <c r="X39" s="41"/>
      <c r="Y39" s="5"/>
      <c r="Z39" s="48"/>
      <c r="AA39" s="5"/>
      <c r="AB39" s="48"/>
      <c r="AC39" s="5"/>
      <c r="AD39" s="74"/>
      <c r="AE39" s="5"/>
      <c r="AF39" s="48"/>
      <c r="AG39" s="5"/>
      <c r="AH39" s="48"/>
      <c r="AI39" s="5"/>
      <c r="AJ39" s="48"/>
      <c r="AK39" s="5"/>
      <c r="AL39" s="48"/>
      <c r="AM39" s="5"/>
      <c r="AN39" s="48"/>
      <c r="AO39" s="5"/>
      <c r="AP39" s="48"/>
      <c r="AQ39" s="5"/>
      <c r="AR39" s="48"/>
      <c r="AS39" s="5"/>
      <c r="AT39" s="48"/>
      <c r="AU39" s="5"/>
      <c r="AV39" s="65"/>
      <c r="AW39" s="5"/>
      <c r="AX39" s="48"/>
      <c r="AY39" s="5"/>
      <c r="AZ39" s="48"/>
      <c r="BA39" s="5"/>
      <c r="BB39" s="48"/>
      <c r="BC39" s="5"/>
      <c r="BD39" s="48"/>
      <c r="BE39" s="5"/>
      <c r="BF39" s="48"/>
      <c r="BG39" s="5"/>
      <c r="BH39" s="48"/>
      <c r="BI39" s="5"/>
      <c r="BJ39" s="48"/>
      <c r="BK39" s="5"/>
      <c r="BL39" s="48"/>
      <c r="BM39" s="5"/>
      <c r="BN39" s="65"/>
      <c r="BO39" s="5"/>
      <c r="BP39" s="128"/>
      <c r="BQ39" s="18"/>
      <c r="BR39" s="4"/>
      <c r="BS39" s="4"/>
      <c r="BT39" s="48"/>
      <c r="BU39" s="86"/>
      <c r="BV39" s="48">
        <v>1</v>
      </c>
      <c r="BW39" s="5">
        <v>170</v>
      </c>
      <c r="BX39" s="74"/>
      <c r="BY39" s="5"/>
      <c r="BZ39" s="48"/>
      <c r="CA39" s="5"/>
      <c r="CB39" s="48"/>
      <c r="CC39" s="5"/>
      <c r="CD39" s="4"/>
      <c r="CE39" s="5"/>
      <c r="CF39" s="48"/>
      <c r="CG39" s="5"/>
      <c r="CH39" s="48"/>
      <c r="CI39" s="5"/>
      <c r="CJ39" s="48"/>
      <c r="CK39" s="5"/>
      <c r="CL39" s="74"/>
      <c r="CM39" s="5"/>
      <c r="CN39" s="74"/>
      <c r="CO39" s="5"/>
      <c r="CP39" s="48"/>
      <c r="CQ39" s="5"/>
      <c r="CR39" s="48"/>
      <c r="CS39" s="5"/>
      <c r="CT39" s="48"/>
      <c r="CU39" s="5"/>
      <c r="CV39" s="112">
        <f t="shared" si="18"/>
        <v>0</v>
      </c>
      <c r="CW39" s="86">
        <f t="shared" si="19"/>
        <v>0</v>
      </c>
      <c r="CX39" s="112"/>
      <c r="CY39" s="86"/>
      <c r="CZ39" s="4"/>
      <c r="DA39" s="5"/>
      <c r="DB39" s="112"/>
      <c r="DC39" s="86"/>
      <c r="DD39" s="6"/>
      <c r="DE39" s="7"/>
      <c r="DF39" s="51">
        <f t="shared" si="16"/>
        <v>1</v>
      </c>
      <c r="DG39" s="7">
        <f t="shared" si="17"/>
        <v>170</v>
      </c>
      <c r="DH39" s="27">
        <f>DF39+3</f>
        <v>4</v>
      </c>
      <c r="DI39" s="7">
        <f>DG39+2050</f>
        <v>2220</v>
      </c>
      <c r="DJ39" s="142"/>
      <c r="DK39" s="142"/>
    </row>
    <row r="40" spans="1:115" ht="36" hidden="1" customHeight="1" x14ac:dyDescent="0.25">
      <c r="A40" s="4" t="s">
        <v>19</v>
      </c>
      <c r="B40" s="12"/>
      <c r="C40" s="13"/>
      <c r="D40" s="109"/>
      <c r="E40" s="5"/>
      <c r="F40" s="48"/>
      <c r="G40" s="5"/>
      <c r="H40" s="48"/>
      <c r="I40" s="5"/>
      <c r="J40" s="48">
        <v>1</v>
      </c>
      <c r="K40" s="5">
        <v>2500</v>
      </c>
      <c r="L40" s="48"/>
      <c r="M40" s="5"/>
      <c r="N40" s="48"/>
      <c r="O40" s="5"/>
      <c r="P40" s="48"/>
      <c r="Q40" s="5"/>
      <c r="R40" s="48"/>
      <c r="S40" s="5"/>
      <c r="T40" s="65"/>
      <c r="U40" s="5"/>
      <c r="V40" s="41">
        <v>1</v>
      </c>
      <c r="W40" s="5">
        <v>2300</v>
      </c>
      <c r="X40" s="41">
        <v>2</v>
      </c>
      <c r="Y40" s="5">
        <v>2500</v>
      </c>
      <c r="Z40" s="48"/>
      <c r="AA40" s="5"/>
      <c r="AB40" s="48"/>
      <c r="AC40" s="5"/>
      <c r="AD40" s="74"/>
      <c r="AE40" s="5"/>
      <c r="AF40" s="48"/>
      <c r="AG40" s="5"/>
      <c r="AH40" s="48"/>
      <c r="AI40" s="5"/>
      <c r="AJ40" s="48">
        <v>1</v>
      </c>
      <c r="AK40" s="5">
        <v>2000</v>
      </c>
      <c r="AL40" s="48"/>
      <c r="AM40" s="5"/>
      <c r="AN40" s="48"/>
      <c r="AO40" s="5"/>
      <c r="AP40" s="48"/>
      <c r="AQ40" s="5"/>
      <c r="AR40" s="48"/>
      <c r="AS40" s="5"/>
      <c r="AT40" s="48"/>
      <c r="AU40" s="5"/>
      <c r="AV40" s="65"/>
      <c r="AW40" s="5"/>
      <c r="AX40" s="48"/>
      <c r="AY40" s="5"/>
      <c r="AZ40" s="48">
        <v>1</v>
      </c>
      <c r="BA40" s="5">
        <v>3500</v>
      </c>
      <c r="BB40" s="48"/>
      <c r="BC40" s="5"/>
      <c r="BD40" s="48"/>
      <c r="BE40" s="5"/>
      <c r="BF40" s="48"/>
      <c r="BG40" s="5"/>
      <c r="BH40" s="48"/>
      <c r="BI40" s="5"/>
      <c r="BJ40" s="48"/>
      <c r="BK40" s="5"/>
      <c r="BL40" s="48"/>
      <c r="BM40" s="5"/>
      <c r="BN40" s="65">
        <v>1</v>
      </c>
      <c r="BO40" s="5">
        <v>300</v>
      </c>
      <c r="BP40" s="128"/>
      <c r="BQ40" s="18"/>
      <c r="BR40" s="4"/>
      <c r="BS40" s="4"/>
      <c r="BT40" s="48"/>
      <c r="BU40" s="86"/>
      <c r="BV40" s="48"/>
      <c r="BW40" s="5"/>
      <c r="BX40" s="74"/>
      <c r="BY40" s="5"/>
      <c r="BZ40" s="48"/>
      <c r="CA40" s="5"/>
      <c r="CB40" s="48"/>
      <c r="CC40" s="5"/>
      <c r="CD40" s="4"/>
      <c r="CE40" s="5"/>
      <c r="CF40" s="48"/>
      <c r="CG40" s="5"/>
      <c r="CH40" s="48"/>
      <c r="CI40" s="5"/>
      <c r="CJ40" s="48"/>
      <c r="CK40" s="5"/>
      <c r="CL40" s="74">
        <v>1</v>
      </c>
      <c r="CM40" s="5">
        <v>4500</v>
      </c>
      <c r="CN40" s="74"/>
      <c r="CO40" s="5"/>
      <c r="CP40" s="48"/>
      <c r="CQ40" s="5"/>
      <c r="CR40" s="48"/>
      <c r="CS40" s="5"/>
      <c r="CT40" s="48"/>
      <c r="CU40" s="5"/>
      <c r="CV40" s="112">
        <f t="shared" si="18"/>
        <v>0</v>
      </c>
      <c r="CW40" s="86">
        <f t="shared" si="19"/>
        <v>0</v>
      </c>
      <c r="CX40" s="112"/>
      <c r="CY40" s="86"/>
      <c r="CZ40" s="4"/>
      <c r="DA40" s="5"/>
      <c r="DB40" s="112"/>
      <c r="DC40" s="86"/>
      <c r="DD40" s="6"/>
      <c r="DE40" s="7"/>
      <c r="DF40" s="51">
        <f t="shared" si="16"/>
        <v>8</v>
      </c>
      <c r="DG40" s="7">
        <f t="shared" si="17"/>
        <v>17600</v>
      </c>
      <c r="DH40" s="27">
        <f>DF40+91</f>
        <v>99</v>
      </c>
      <c r="DI40" s="7">
        <f>DG40+110405</f>
        <v>128005</v>
      </c>
      <c r="DJ40" s="142"/>
      <c r="DK40" s="142"/>
    </row>
    <row r="41" spans="1:115" ht="31.5" hidden="1" x14ac:dyDescent="0.25">
      <c r="A41" s="4" t="s">
        <v>20</v>
      </c>
      <c r="B41" s="12"/>
      <c r="C41" s="13"/>
      <c r="D41" s="109"/>
      <c r="E41" s="5"/>
      <c r="F41" s="48"/>
      <c r="G41" s="5"/>
      <c r="H41" s="48"/>
      <c r="I41" s="5"/>
      <c r="J41" s="48">
        <v>1</v>
      </c>
      <c r="K41" s="5">
        <v>4322</v>
      </c>
      <c r="L41" s="48"/>
      <c r="M41" s="5"/>
      <c r="N41" s="48"/>
      <c r="O41" s="5"/>
      <c r="P41" s="48">
        <v>1</v>
      </c>
      <c r="Q41" s="5">
        <v>5000</v>
      </c>
      <c r="R41" s="48"/>
      <c r="S41" s="5"/>
      <c r="T41" s="65">
        <v>1</v>
      </c>
      <c r="U41" s="5">
        <v>400</v>
      </c>
      <c r="V41" s="41">
        <v>2</v>
      </c>
      <c r="W41" s="5">
        <v>4200</v>
      </c>
      <c r="X41" s="41">
        <v>1</v>
      </c>
      <c r="Y41" s="5">
        <v>1000</v>
      </c>
      <c r="Z41" s="48"/>
      <c r="AA41" s="5"/>
      <c r="AB41" s="48">
        <v>1</v>
      </c>
      <c r="AC41" s="5">
        <v>800</v>
      </c>
      <c r="AD41" s="74">
        <v>1</v>
      </c>
      <c r="AE41" s="5">
        <v>150</v>
      </c>
      <c r="AF41" s="48"/>
      <c r="AG41" s="5"/>
      <c r="AH41" s="48">
        <v>1</v>
      </c>
      <c r="AI41" s="5">
        <v>1500</v>
      </c>
      <c r="AJ41" s="48"/>
      <c r="AK41" s="5"/>
      <c r="AL41" s="48">
        <v>1</v>
      </c>
      <c r="AM41" s="5">
        <v>2000</v>
      </c>
      <c r="AN41" s="48"/>
      <c r="AO41" s="5"/>
      <c r="AP41" s="48"/>
      <c r="AQ41" s="5"/>
      <c r="AR41" s="48"/>
      <c r="AS41" s="5"/>
      <c r="AT41" s="48"/>
      <c r="AU41" s="5"/>
      <c r="AV41" s="65"/>
      <c r="AW41" s="5"/>
      <c r="AX41" s="48">
        <v>1</v>
      </c>
      <c r="AY41" s="5">
        <v>200</v>
      </c>
      <c r="AZ41" s="48"/>
      <c r="BA41" s="5"/>
      <c r="BB41" s="48">
        <v>1</v>
      </c>
      <c r="BC41" s="5">
        <v>200</v>
      </c>
      <c r="BD41" s="48"/>
      <c r="BE41" s="5"/>
      <c r="BF41" s="48">
        <v>1</v>
      </c>
      <c r="BG41" s="5">
        <v>1100</v>
      </c>
      <c r="BH41" s="48">
        <v>1</v>
      </c>
      <c r="BI41" s="5">
        <v>2500</v>
      </c>
      <c r="BJ41" s="48"/>
      <c r="BK41" s="5"/>
      <c r="BL41" s="48">
        <v>2</v>
      </c>
      <c r="BM41" s="5">
        <v>2600</v>
      </c>
      <c r="BN41" s="65"/>
      <c r="BO41" s="5"/>
      <c r="BP41" s="128"/>
      <c r="BQ41" s="18"/>
      <c r="BR41" s="4"/>
      <c r="BS41" s="134"/>
      <c r="BT41" s="48">
        <v>2</v>
      </c>
      <c r="BU41" s="86">
        <v>2300</v>
      </c>
      <c r="BV41" s="48">
        <v>1</v>
      </c>
      <c r="BW41" s="5">
        <v>4000</v>
      </c>
      <c r="BX41" s="74">
        <v>1</v>
      </c>
      <c r="BY41" s="5">
        <v>200</v>
      </c>
      <c r="BZ41" s="48"/>
      <c r="CA41" s="5"/>
      <c r="CB41" s="48"/>
      <c r="CC41" s="5"/>
      <c r="CD41" s="4">
        <v>1</v>
      </c>
      <c r="CE41" s="5">
        <v>200</v>
      </c>
      <c r="CF41" s="48"/>
      <c r="CG41" s="5"/>
      <c r="CH41" s="48"/>
      <c r="CI41" s="5"/>
      <c r="CJ41" s="48"/>
      <c r="CK41" s="5"/>
      <c r="CL41" s="74">
        <v>1</v>
      </c>
      <c r="CM41" s="5">
        <v>2500</v>
      </c>
      <c r="CN41" s="74">
        <v>1</v>
      </c>
      <c r="CO41" s="5">
        <v>300</v>
      </c>
      <c r="CP41" s="48"/>
      <c r="CQ41" s="5"/>
      <c r="CR41" s="48"/>
      <c r="CS41" s="5"/>
      <c r="CT41" s="48">
        <v>1</v>
      </c>
      <c r="CU41" s="5">
        <v>500</v>
      </c>
      <c r="CV41" s="112">
        <f t="shared" si="18"/>
        <v>2</v>
      </c>
      <c r="CW41" s="86">
        <f t="shared" si="19"/>
        <v>800</v>
      </c>
      <c r="CX41" s="112"/>
      <c r="CY41" s="86"/>
      <c r="CZ41" s="4"/>
      <c r="DA41" s="5"/>
      <c r="DB41" s="112"/>
      <c r="DC41" s="86"/>
      <c r="DD41" s="6"/>
      <c r="DE41" s="7"/>
      <c r="DF41" s="51">
        <f t="shared" si="16"/>
        <v>24</v>
      </c>
      <c r="DG41" s="7">
        <f t="shared" si="17"/>
        <v>35972</v>
      </c>
      <c r="DH41" s="27">
        <f>DF41+207</f>
        <v>231</v>
      </c>
      <c r="DI41" s="7">
        <f>DG41+163978</f>
        <v>199950</v>
      </c>
      <c r="DJ41" s="142"/>
      <c r="DK41" s="142"/>
    </row>
    <row r="42" spans="1:115" hidden="1" x14ac:dyDescent="0.25">
      <c r="A42" s="4" t="s">
        <v>60</v>
      </c>
      <c r="B42" s="52">
        <f>SUM(B26:B41)</f>
        <v>8</v>
      </c>
      <c r="C42" s="16">
        <f>SUM(C26:C41)</f>
        <v>14440</v>
      </c>
      <c r="D42" s="107">
        <f t="shared" ref="D42:DE42" si="20">SUM(D26:D41)</f>
        <v>3</v>
      </c>
      <c r="E42" s="16">
        <f>SUM(E26:E41)</f>
        <v>9679</v>
      </c>
      <c r="F42" s="48">
        <f>SUM(F26:F41)</f>
        <v>6</v>
      </c>
      <c r="G42" s="5">
        <f t="shared" si="20"/>
        <v>15500</v>
      </c>
      <c r="H42" s="47">
        <f t="shared" si="20"/>
        <v>7</v>
      </c>
      <c r="I42" s="16">
        <f t="shared" si="20"/>
        <v>7600</v>
      </c>
      <c r="J42" s="47">
        <f t="shared" si="20"/>
        <v>9</v>
      </c>
      <c r="K42" s="16">
        <f>SUM(K26:K41)</f>
        <v>17722</v>
      </c>
      <c r="L42" s="47">
        <f t="shared" si="20"/>
        <v>7</v>
      </c>
      <c r="M42" s="16">
        <f t="shared" si="20"/>
        <v>13986</v>
      </c>
      <c r="N42" s="47">
        <f t="shared" si="20"/>
        <v>9</v>
      </c>
      <c r="O42" s="16">
        <f t="shared" si="20"/>
        <v>21430</v>
      </c>
      <c r="P42" s="47">
        <f t="shared" si="20"/>
        <v>12</v>
      </c>
      <c r="Q42" s="16">
        <f t="shared" si="20"/>
        <v>32500</v>
      </c>
      <c r="R42" s="47">
        <f>SUM(R26:R41)</f>
        <v>10</v>
      </c>
      <c r="S42" s="16">
        <f t="shared" si="20"/>
        <v>19100</v>
      </c>
      <c r="T42" s="64">
        <f>SUM(T26:T41)</f>
        <v>12</v>
      </c>
      <c r="U42" s="16">
        <f t="shared" si="20"/>
        <v>32954</v>
      </c>
      <c r="V42" s="40">
        <f t="shared" si="20"/>
        <v>19</v>
      </c>
      <c r="W42" s="16">
        <f t="shared" si="20"/>
        <v>51150</v>
      </c>
      <c r="X42" s="40">
        <f>SUM(X26:X41)</f>
        <v>13</v>
      </c>
      <c r="Y42" s="16">
        <f>SUM(Y26:Y41)</f>
        <v>38400</v>
      </c>
      <c r="Z42" s="47">
        <f>SUM(Z26:Z41)</f>
        <v>12</v>
      </c>
      <c r="AA42" s="16">
        <f>SUM(AA26:AA41)</f>
        <v>27895</v>
      </c>
      <c r="AB42" s="47">
        <f t="shared" si="20"/>
        <v>11</v>
      </c>
      <c r="AC42" s="16">
        <f t="shared" si="20"/>
        <v>32120</v>
      </c>
      <c r="AD42" s="52">
        <f t="shared" si="20"/>
        <v>9</v>
      </c>
      <c r="AE42" s="16">
        <f t="shared" si="20"/>
        <v>20390</v>
      </c>
      <c r="AF42" s="47">
        <f t="shared" si="20"/>
        <v>5</v>
      </c>
      <c r="AG42" s="16">
        <f t="shared" si="20"/>
        <v>6255</v>
      </c>
      <c r="AH42" s="47">
        <f t="shared" si="20"/>
        <v>9</v>
      </c>
      <c r="AI42" s="16">
        <f>SUM(AI26:AI41)</f>
        <v>24360</v>
      </c>
      <c r="AJ42" s="47">
        <f t="shared" si="20"/>
        <v>18</v>
      </c>
      <c r="AK42" s="16">
        <f t="shared" si="20"/>
        <v>31605</v>
      </c>
      <c r="AL42" s="47">
        <f t="shared" si="20"/>
        <v>14</v>
      </c>
      <c r="AM42" s="16">
        <f t="shared" si="20"/>
        <v>17204</v>
      </c>
      <c r="AN42" s="47">
        <f t="shared" si="20"/>
        <v>10</v>
      </c>
      <c r="AO42" s="16">
        <f t="shared" si="20"/>
        <v>24950</v>
      </c>
      <c r="AP42" s="47">
        <f t="shared" si="20"/>
        <v>13</v>
      </c>
      <c r="AQ42" s="16">
        <f t="shared" si="20"/>
        <v>25600</v>
      </c>
      <c r="AR42" s="47">
        <f t="shared" si="20"/>
        <v>10</v>
      </c>
      <c r="AS42" s="16">
        <f t="shared" si="20"/>
        <v>9600</v>
      </c>
      <c r="AT42" s="47">
        <f t="shared" si="20"/>
        <v>9</v>
      </c>
      <c r="AU42" s="16">
        <f t="shared" si="20"/>
        <v>11600</v>
      </c>
      <c r="AV42" s="64">
        <f t="shared" si="20"/>
        <v>7</v>
      </c>
      <c r="AW42" s="16">
        <f t="shared" si="20"/>
        <v>11800</v>
      </c>
      <c r="AX42" s="47">
        <f t="shared" si="20"/>
        <v>16</v>
      </c>
      <c r="AY42" s="16">
        <f t="shared" si="20"/>
        <v>37300</v>
      </c>
      <c r="AZ42" s="47">
        <f t="shared" si="20"/>
        <v>8</v>
      </c>
      <c r="BA42" s="16">
        <f t="shared" si="20"/>
        <v>12700</v>
      </c>
      <c r="BB42" s="47">
        <f t="shared" si="20"/>
        <v>13</v>
      </c>
      <c r="BC42" s="16">
        <f t="shared" si="20"/>
        <v>17900</v>
      </c>
      <c r="BD42" s="47">
        <f t="shared" si="20"/>
        <v>12</v>
      </c>
      <c r="BE42" s="16">
        <f>SUM(BE26:BE41)</f>
        <v>24900</v>
      </c>
      <c r="BF42" s="47">
        <f t="shared" si="20"/>
        <v>11</v>
      </c>
      <c r="BG42" s="16">
        <f t="shared" si="20"/>
        <v>20350</v>
      </c>
      <c r="BH42" s="47">
        <f t="shared" si="20"/>
        <v>9</v>
      </c>
      <c r="BI42" s="16">
        <f t="shared" si="20"/>
        <v>20540</v>
      </c>
      <c r="BJ42" s="47">
        <f t="shared" si="20"/>
        <v>10</v>
      </c>
      <c r="BK42" s="16">
        <f t="shared" si="20"/>
        <v>24370</v>
      </c>
      <c r="BL42" s="47">
        <f t="shared" si="20"/>
        <v>8</v>
      </c>
      <c r="BM42" s="16">
        <f t="shared" si="20"/>
        <v>8100</v>
      </c>
      <c r="BN42" s="64">
        <f t="shared" si="20"/>
        <v>5</v>
      </c>
      <c r="BO42" s="16">
        <f t="shared" si="20"/>
        <v>4000</v>
      </c>
      <c r="BP42" s="131">
        <f t="shared" si="20"/>
        <v>7</v>
      </c>
      <c r="BQ42" s="132">
        <f t="shared" si="20"/>
        <v>14400</v>
      </c>
      <c r="BR42" s="80">
        <f t="shared" si="20"/>
        <v>5</v>
      </c>
      <c r="BS42" s="16">
        <f t="shared" si="20"/>
        <v>12800</v>
      </c>
      <c r="BT42" s="47">
        <f t="shared" si="20"/>
        <v>11</v>
      </c>
      <c r="BU42" s="13">
        <f t="shared" si="20"/>
        <v>11700</v>
      </c>
      <c r="BV42" s="47">
        <f t="shared" si="20"/>
        <v>6</v>
      </c>
      <c r="BW42" s="16">
        <f t="shared" si="20"/>
        <v>9870</v>
      </c>
      <c r="BX42" s="52">
        <f t="shared" si="20"/>
        <v>7</v>
      </c>
      <c r="BY42" s="16">
        <f t="shared" si="20"/>
        <v>6700</v>
      </c>
      <c r="BZ42" s="47">
        <f t="shared" si="20"/>
        <v>6</v>
      </c>
      <c r="CA42" s="16">
        <f t="shared" si="20"/>
        <v>5900</v>
      </c>
      <c r="CB42" s="47">
        <f t="shared" si="20"/>
        <v>9</v>
      </c>
      <c r="CC42" s="16">
        <f t="shared" si="20"/>
        <v>17260</v>
      </c>
      <c r="CD42" s="80">
        <f t="shared" si="20"/>
        <v>3</v>
      </c>
      <c r="CE42" s="16">
        <f t="shared" si="20"/>
        <v>5100</v>
      </c>
      <c r="CF42" s="47">
        <f t="shared" si="20"/>
        <v>7</v>
      </c>
      <c r="CG42" s="16">
        <f t="shared" si="20"/>
        <v>9130</v>
      </c>
      <c r="CH42" s="47">
        <f t="shared" si="20"/>
        <v>6</v>
      </c>
      <c r="CI42" s="16">
        <f t="shared" si="20"/>
        <v>14480</v>
      </c>
      <c r="CJ42" s="47">
        <f t="shared" si="20"/>
        <v>8</v>
      </c>
      <c r="CK42" s="16">
        <f t="shared" si="20"/>
        <v>15100</v>
      </c>
      <c r="CL42" s="52">
        <f t="shared" si="20"/>
        <v>11</v>
      </c>
      <c r="CM42" s="16">
        <f t="shared" si="20"/>
        <v>22250</v>
      </c>
      <c r="CN42" s="52">
        <f t="shared" si="20"/>
        <v>5</v>
      </c>
      <c r="CO42" s="16">
        <f t="shared" si="20"/>
        <v>6100</v>
      </c>
      <c r="CP42" s="47">
        <f t="shared" si="20"/>
        <v>6</v>
      </c>
      <c r="CQ42" s="16">
        <f t="shared" si="20"/>
        <v>7300</v>
      </c>
      <c r="CR42" s="47">
        <f t="shared" si="20"/>
        <v>9</v>
      </c>
      <c r="CS42" s="16">
        <f t="shared" si="20"/>
        <v>16290</v>
      </c>
      <c r="CT42" s="47">
        <f>SUM(CT26:CT41)</f>
        <v>14</v>
      </c>
      <c r="CU42" s="16">
        <f t="shared" si="20"/>
        <v>22950</v>
      </c>
      <c r="CV42" s="72">
        <f t="shared" ref="CV42" si="21">CN42+CP42+CR42+CT42</f>
        <v>34</v>
      </c>
      <c r="CW42" s="13">
        <f t="shared" ref="CW42" si="22">CO42+CQ42+CS42+CU42</f>
        <v>52640</v>
      </c>
      <c r="CX42" s="47">
        <f>SUM(CX26:CX41)</f>
        <v>0</v>
      </c>
      <c r="CY42" s="16">
        <f t="shared" si="20"/>
        <v>0</v>
      </c>
      <c r="CZ42" s="80">
        <f t="shared" si="20"/>
        <v>0</v>
      </c>
      <c r="DA42" s="16">
        <f t="shared" si="20"/>
        <v>0</v>
      </c>
      <c r="DB42" s="72">
        <f t="shared" ref="DB42" si="23">CR42+CT42+CX42+CZ42</f>
        <v>23</v>
      </c>
      <c r="DC42" s="13">
        <f t="shared" ref="DC42" si="24">CS42+CU42+CY42+DA42</f>
        <v>39240</v>
      </c>
      <c r="DD42" s="80">
        <f t="shared" si="20"/>
        <v>0</v>
      </c>
      <c r="DE42" s="80">
        <f t="shared" si="20"/>
        <v>0</v>
      </c>
      <c r="DF42" s="35">
        <f>B42+CZ42+DD42+D42+F42+H42+J42+L42+N42+P42+R42+T42+V42+X42+Z42+AB42+AD42+AF42+AH42+AJ42+AL42+AN42+AP42+AR42+AT42+AV42+AX42+AZ42+BB42+BD42+BF42+BH42+BJ42+BL42+BN42+BP42+BR42+BT42+BV42+BX42+BZ42+CB42+CD42+CF42+CH42+CJ42+CL42+CN42+CP42+CR42+CT42+CX42</f>
        <v>454</v>
      </c>
      <c r="DG42" s="15">
        <f t="shared" si="17"/>
        <v>885330</v>
      </c>
      <c r="DH42" s="52">
        <f>SUM(DH26:DH41)</f>
        <v>3455</v>
      </c>
      <c r="DI42" s="16">
        <f>SUM(DI26:DI41)</f>
        <v>3990273</v>
      </c>
      <c r="DJ42" s="142"/>
      <c r="DK42" s="142"/>
    </row>
    <row r="43" spans="1:115" hidden="1" x14ac:dyDescent="0.25">
      <c r="A43" s="186"/>
      <c r="B43" s="187"/>
      <c r="C43" s="188"/>
      <c r="D43" s="189"/>
      <c r="E43" s="188"/>
      <c r="F43" s="190"/>
      <c r="G43" s="191"/>
      <c r="H43" s="192"/>
      <c r="I43" s="188"/>
      <c r="J43" s="192"/>
      <c r="K43" s="188"/>
      <c r="L43" s="192"/>
      <c r="M43" s="188"/>
      <c r="N43" s="192"/>
      <c r="O43" s="188"/>
      <c r="P43" s="192"/>
      <c r="Q43" s="188"/>
      <c r="R43" s="192"/>
      <c r="S43" s="188"/>
      <c r="T43" s="193"/>
      <c r="U43" s="188"/>
      <c r="V43" s="194"/>
      <c r="W43" s="188"/>
      <c r="X43" s="194"/>
      <c r="Y43" s="188"/>
      <c r="Z43" s="192"/>
      <c r="AA43" s="188"/>
      <c r="AB43" s="192"/>
      <c r="AC43" s="188"/>
      <c r="AD43" s="187"/>
      <c r="AE43" s="188"/>
      <c r="AF43" s="192"/>
      <c r="AG43" s="188"/>
      <c r="AH43" s="192"/>
      <c r="AI43" s="188"/>
      <c r="AJ43" s="192"/>
      <c r="AK43" s="188"/>
      <c r="AL43" s="192"/>
      <c r="AM43" s="188"/>
      <c r="AN43" s="192"/>
      <c r="AO43" s="188"/>
      <c r="AP43" s="192"/>
      <c r="AQ43" s="188"/>
      <c r="AR43" s="192"/>
      <c r="AS43" s="188"/>
      <c r="AT43" s="192"/>
      <c r="AU43" s="188"/>
      <c r="AV43" s="193"/>
      <c r="AW43" s="188"/>
      <c r="AX43" s="192"/>
      <c r="AY43" s="188"/>
      <c r="AZ43" s="192"/>
      <c r="BA43" s="188"/>
      <c r="BB43" s="192"/>
      <c r="BC43" s="188"/>
      <c r="BD43" s="192"/>
      <c r="BE43" s="188"/>
      <c r="BF43" s="192"/>
      <c r="BG43" s="188"/>
      <c r="BH43" s="192"/>
      <c r="BI43" s="188"/>
      <c r="BJ43" s="192"/>
      <c r="BK43" s="188"/>
      <c r="BL43" s="192"/>
      <c r="BM43" s="188"/>
      <c r="BN43" s="193"/>
      <c r="BO43" s="188"/>
      <c r="BP43" s="195"/>
      <c r="BQ43" s="196"/>
      <c r="BR43" s="197"/>
      <c r="BS43" s="188"/>
      <c r="BT43" s="192"/>
      <c r="BU43" s="198"/>
      <c r="BV43" s="192"/>
      <c r="BW43" s="188"/>
      <c r="BX43" s="187"/>
      <c r="BY43" s="188"/>
      <c r="BZ43" s="192"/>
      <c r="CA43" s="188"/>
      <c r="CB43" s="192"/>
      <c r="CC43" s="188"/>
      <c r="CD43" s="197"/>
      <c r="CE43" s="188"/>
      <c r="CF43" s="192"/>
      <c r="CG43" s="188"/>
      <c r="CH43" s="192"/>
      <c r="CI43" s="188"/>
      <c r="CJ43" s="192"/>
      <c r="CK43" s="188"/>
      <c r="CL43" s="187"/>
      <c r="CM43" s="188"/>
      <c r="CN43" s="187"/>
      <c r="CO43" s="188"/>
      <c r="CP43" s="192"/>
      <c r="CQ43" s="188"/>
      <c r="CR43" s="192"/>
      <c r="CS43" s="188"/>
      <c r="CT43" s="192"/>
      <c r="CU43" s="188"/>
      <c r="CV43" s="187"/>
      <c r="CW43" s="188"/>
      <c r="CX43" s="192"/>
      <c r="CY43" s="188"/>
      <c r="CZ43" s="197"/>
      <c r="DA43" s="188"/>
      <c r="DB43" s="199"/>
      <c r="DC43" s="198"/>
      <c r="DD43" s="197"/>
      <c r="DE43" s="197"/>
      <c r="DF43" s="200"/>
      <c r="DG43" s="201"/>
      <c r="DH43" s="187"/>
      <c r="DI43" s="188"/>
      <c r="DJ43" s="142"/>
      <c r="DK43" s="142"/>
    </row>
    <row r="44" spans="1:115" ht="59.25" hidden="1" customHeight="1" x14ac:dyDescent="0.25">
      <c r="A44" s="368" t="s">
        <v>131</v>
      </c>
      <c r="B44" s="52"/>
      <c r="C44" s="16"/>
      <c r="D44" s="107"/>
      <c r="E44" s="16"/>
      <c r="F44" s="48"/>
      <c r="G44" s="5"/>
      <c r="H44" s="47"/>
      <c r="I44" s="16"/>
      <c r="J44" s="47"/>
      <c r="K44" s="16"/>
      <c r="L44" s="47"/>
      <c r="M44" s="16"/>
      <c r="N44" s="47"/>
      <c r="O44" s="16"/>
      <c r="P44" s="47"/>
      <c r="Q44" s="16"/>
      <c r="R44" s="47"/>
      <c r="S44" s="16"/>
      <c r="T44" s="64"/>
      <c r="U44" s="16"/>
      <c r="V44" s="40"/>
      <c r="W44" s="16"/>
      <c r="X44" s="40"/>
      <c r="Y44" s="16"/>
      <c r="Z44" s="47"/>
      <c r="AA44" s="16"/>
      <c r="AB44" s="344" t="str">
        <f>AB13</f>
        <v>За отчетный период с 18.04.020 по 24.04.2020</v>
      </c>
      <c r="AC44" s="345"/>
      <c r="AD44" s="344" t="str">
        <f>AD13</f>
        <v>За отчетный период с 25.04.2020 по 30.04.2020</v>
      </c>
      <c r="AE44" s="345"/>
      <c r="AF44" s="344" t="str">
        <f>AF13</f>
        <v>За отчетный период с 01.05.2020 по 08.05.2020</v>
      </c>
      <c r="AG44" s="345"/>
      <c r="AH44" s="344" t="str">
        <f>AH13</f>
        <v>За отчетный период с 09.05.2020 по 15.05.2020</v>
      </c>
      <c r="AI44" s="345"/>
      <c r="AJ44" s="344" t="str">
        <f>AJ13</f>
        <v>За отчетный период с 16.05.2020 по 22.05.2020</v>
      </c>
      <c r="AK44" s="345"/>
      <c r="AL44" s="344" t="str">
        <f>AL13</f>
        <v>За отчетный период с 23.05.2020 по 31.05.2020</v>
      </c>
      <c r="AM44" s="345"/>
      <c r="AN44" s="344" t="str">
        <f>AN13</f>
        <v>За отчетный период с 01.06.2020 по 05.06.2020</v>
      </c>
      <c r="AO44" s="345"/>
      <c r="AP44" s="344" t="str">
        <f>AP13</f>
        <v>За отчетный период с 06.06.2020 по 11.06.2020</v>
      </c>
      <c r="AQ44" s="345"/>
      <c r="AR44" s="344" t="str">
        <f>AR13</f>
        <v>За отчетный период с 12.06.2020 по 19.06.2020</v>
      </c>
      <c r="AS44" s="345"/>
      <c r="AT44" s="344" t="str">
        <f>AT13</f>
        <v>За отчетный период с 20.06.2020 по 26.06.2020</v>
      </c>
      <c r="AU44" s="345"/>
      <c r="AV44" s="409" t="str">
        <f>AV13</f>
        <v>За отчетный период с 01.07.2020 по 03.07.2020</v>
      </c>
      <c r="AW44" s="410"/>
      <c r="AX44" s="344" t="str">
        <f>AX13</f>
        <v>За отчетный период с 04.07.2020 по 10.07.2020</v>
      </c>
      <c r="AY44" s="345"/>
      <c r="AZ44" s="344" t="str">
        <f>AZ13</f>
        <v>За отчетный период с 11.07.2020 по 17.07.2020</v>
      </c>
      <c r="BA44" s="345"/>
      <c r="BB44" s="344" t="str">
        <f>BB13</f>
        <v>За отчетный период с 18.07.2020 по 24.07.2020</v>
      </c>
      <c r="BC44" s="345"/>
      <c r="BD44" s="344" t="str">
        <f>BD13</f>
        <v>За отчетный период с 25.07.2020 по 31.07.2020</v>
      </c>
      <c r="BE44" s="345"/>
      <c r="BF44" s="381" t="s">
        <v>161</v>
      </c>
      <c r="BG44" s="382"/>
      <c r="BH44" s="344" t="str">
        <f>BH13</f>
        <v>За отчетный период с 08.08.2020 по14.08.2020</v>
      </c>
      <c r="BI44" s="345"/>
      <c r="BJ44" s="344" t="str">
        <f>BJ13</f>
        <v>За отчетный период с 15.08.2020 по21.08.2020</v>
      </c>
      <c r="BK44" s="345"/>
      <c r="BL44" s="344" t="str">
        <f>BL13</f>
        <v>За отчетный период с 22.08.2020 по31.08.2020</v>
      </c>
      <c r="BM44" s="345"/>
      <c r="BN44" s="344" t="str">
        <f>BN13</f>
        <v>За отчетный период с 01.09.2020 по 04.09.2020</v>
      </c>
      <c r="BO44" s="345"/>
      <c r="BP44" s="344" t="str">
        <f>BP13</f>
        <v>За отчетный период с 05.09.2020 по 11.09.2020</v>
      </c>
      <c r="BQ44" s="345"/>
      <c r="BR44" s="349" t="str">
        <f>BR13</f>
        <v>За отчетный период с 12.09.2020 по 18.09.2021</v>
      </c>
      <c r="BS44" s="350"/>
      <c r="BT44" s="344" t="str">
        <f>BT13</f>
        <v>За отчетный период с 19.09.2020 по 25.09.2020</v>
      </c>
      <c r="BU44" s="345"/>
      <c r="BV44" s="344" t="str">
        <f>BV13</f>
        <v>За отчетный период с 01.10.2020 по 02.10.2020</v>
      </c>
      <c r="BW44" s="345"/>
      <c r="BX44" s="344" t="str">
        <f>BX13</f>
        <v>За отчетный период с 03.10.2020 по 09.10.2020</v>
      </c>
      <c r="BY44" s="345"/>
      <c r="BZ44" s="344" t="str">
        <f>BZ13</f>
        <v>За отчетный период с 10.10.2020 по 16.10.2020</v>
      </c>
      <c r="CA44" s="345"/>
      <c r="CB44" s="344" t="str">
        <f>CB13</f>
        <v>За отчетный период с 17.10.2020 по 23.10.2020</v>
      </c>
      <c r="CC44" s="345"/>
      <c r="CD44" s="349" t="str">
        <f>CD13</f>
        <v>За отчетный период с 24.10.2020 по 31.10.2020</v>
      </c>
      <c r="CE44" s="350"/>
      <c r="CF44" s="344" t="str">
        <f>CF13</f>
        <v>За отчетный период с 01.11.2020 по 06.11.2020</v>
      </c>
      <c r="CG44" s="345"/>
      <c r="CH44" s="344" t="str">
        <f>CH13</f>
        <v>За отчетный период с 07.11.2020 по 13.11.2020</v>
      </c>
      <c r="CI44" s="345"/>
      <c r="CJ44" s="344" t="s">
        <v>201</v>
      </c>
      <c r="CK44" s="345"/>
      <c r="CL44" s="351" t="str">
        <f>CL13</f>
        <v>За отчетный период с 21.11.2020 по 27.11.2020</v>
      </c>
      <c r="CM44" s="352"/>
      <c r="CN44" s="351" t="str">
        <f>CN13</f>
        <v>За отчетный период с 01.12.2020 по 04.12.2020</v>
      </c>
      <c r="CO44" s="352"/>
      <c r="CP44" s="351" t="str">
        <f>CP13</f>
        <v>За отчетный период с 05.12.2020 по 11.12.2020</v>
      </c>
      <c r="CQ44" s="352"/>
      <c r="CR44" s="344" t="str">
        <f>CR13</f>
        <v>За отчетный период с 12.12.2020 по 20.12.2020</v>
      </c>
      <c r="CS44" s="345"/>
      <c r="CT44" s="344" t="s">
        <v>226</v>
      </c>
      <c r="CU44" s="345"/>
      <c r="CV44" s="351" t="str">
        <f>CV13</f>
        <v>За отчетный период с 01.12.2020 по 31.12.2020</v>
      </c>
      <c r="CW44" s="352"/>
      <c r="CX44" s="47"/>
      <c r="CY44" s="16"/>
      <c r="CZ44" s="80"/>
      <c r="DA44" s="16"/>
      <c r="DB44" s="72"/>
      <c r="DC44" s="13"/>
      <c r="DD44" s="80"/>
      <c r="DE44" s="80"/>
      <c r="DF44" s="412" t="s">
        <v>115</v>
      </c>
      <c r="DG44" s="413"/>
      <c r="DH44" s="383"/>
      <c r="DI44" s="384"/>
      <c r="DJ44" s="142"/>
      <c r="DK44" s="142"/>
    </row>
    <row r="45" spans="1:115" ht="17.25" hidden="1" customHeight="1" x14ac:dyDescent="0.25">
      <c r="A45" s="369"/>
      <c r="B45" s="187"/>
      <c r="C45" s="188"/>
      <c r="D45" s="189"/>
      <c r="E45" s="188"/>
      <c r="F45" s="190"/>
      <c r="G45" s="191"/>
      <c r="H45" s="192"/>
      <c r="I45" s="188"/>
      <c r="J45" s="192"/>
      <c r="K45" s="188"/>
      <c r="L45" s="192"/>
      <c r="M45" s="188"/>
      <c r="N45" s="192"/>
      <c r="O45" s="188"/>
      <c r="P45" s="192"/>
      <c r="Q45" s="188"/>
      <c r="R45" s="192"/>
      <c r="S45" s="188"/>
      <c r="T45" s="193"/>
      <c r="U45" s="188"/>
      <c r="V45" s="194"/>
      <c r="W45" s="188"/>
      <c r="X45" s="194"/>
      <c r="Y45" s="188"/>
      <c r="Z45" s="192"/>
      <c r="AA45" s="188"/>
      <c r="AB45" s="222"/>
      <c r="AC45" s="222"/>
      <c r="AD45" s="223"/>
      <c r="AE45" s="224"/>
      <c r="AF45" s="223"/>
      <c r="AG45" s="224"/>
      <c r="AH45" s="223"/>
      <c r="AI45" s="224"/>
      <c r="AJ45" s="223"/>
      <c r="AK45" s="224"/>
      <c r="AL45" s="223"/>
      <c r="AM45" s="224"/>
      <c r="AN45" s="222" t="s">
        <v>2</v>
      </c>
      <c r="AO45" s="222" t="s">
        <v>3</v>
      </c>
      <c r="AP45" s="47" t="s">
        <v>2</v>
      </c>
      <c r="AQ45" s="16" t="s">
        <v>3</v>
      </c>
      <c r="AR45" s="47" t="s">
        <v>2</v>
      </c>
      <c r="AS45" s="16" t="s">
        <v>3</v>
      </c>
      <c r="AT45" s="46" t="s">
        <v>2</v>
      </c>
      <c r="AU45" s="22" t="s">
        <v>3</v>
      </c>
      <c r="AV45" s="64" t="s">
        <v>2</v>
      </c>
      <c r="AW45" s="16" t="s">
        <v>3</v>
      </c>
      <c r="AX45" s="47" t="s">
        <v>2</v>
      </c>
      <c r="AY45" s="16" t="s">
        <v>3</v>
      </c>
      <c r="AZ45" s="47" t="s">
        <v>2</v>
      </c>
      <c r="BA45" s="16" t="s">
        <v>3</v>
      </c>
      <c r="BB45" s="47" t="s">
        <v>2</v>
      </c>
      <c r="BC45" s="16" t="s">
        <v>3</v>
      </c>
      <c r="BD45" s="47" t="s">
        <v>2</v>
      </c>
      <c r="BE45" s="16" t="s">
        <v>3</v>
      </c>
      <c r="BF45" s="47" t="s">
        <v>2</v>
      </c>
      <c r="BG45" s="16" t="s">
        <v>3</v>
      </c>
      <c r="BH45" s="47" t="s">
        <v>2</v>
      </c>
      <c r="BI45" s="16" t="s">
        <v>3</v>
      </c>
      <c r="BJ45" s="47" t="s">
        <v>2</v>
      </c>
      <c r="BK45" s="16" t="s">
        <v>3</v>
      </c>
      <c r="BL45" s="47" t="s">
        <v>2</v>
      </c>
      <c r="BM45" s="16" t="s">
        <v>3</v>
      </c>
      <c r="BN45" s="64" t="s">
        <v>2</v>
      </c>
      <c r="BO45" s="16" t="s">
        <v>3</v>
      </c>
      <c r="BP45" s="131" t="s">
        <v>2</v>
      </c>
      <c r="BQ45" s="132" t="s">
        <v>3</v>
      </c>
      <c r="BR45" s="80" t="s">
        <v>2</v>
      </c>
      <c r="BS45" s="16" t="s">
        <v>3</v>
      </c>
      <c r="BT45" s="47" t="s">
        <v>2</v>
      </c>
      <c r="BU45" s="13" t="s">
        <v>3</v>
      </c>
      <c r="BV45" s="47" t="s">
        <v>2</v>
      </c>
      <c r="BW45" s="16" t="s">
        <v>3</v>
      </c>
      <c r="BX45" s="52" t="s">
        <v>2</v>
      </c>
      <c r="BY45" s="16" t="s">
        <v>3</v>
      </c>
      <c r="BZ45" s="47" t="s">
        <v>2</v>
      </c>
      <c r="CA45" s="16" t="s">
        <v>3</v>
      </c>
      <c r="CB45" s="47" t="s">
        <v>2</v>
      </c>
      <c r="CC45" s="16" t="s">
        <v>3</v>
      </c>
      <c r="CD45" s="80" t="s">
        <v>2</v>
      </c>
      <c r="CE45" s="16" t="s">
        <v>3</v>
      </c>
      <c r="CF45" s="47" t="s">
        <v>2</v>
      </c>
      <c r="CG45" s="16" t="s">
        <v>3</v>
      </c>
      <c r="CH45" s="47" t="s">
        <v>2</v>
      </c>
      <c r="CI45" s="16" t="s">
        <v>3</v>
      </c>
      <c r="CJ45" s="47" t="s">
        <v>2</v>
      </c>
      <c r="CK45" s="16" t="s">
        <v>3</v>
      </c>
      <c r="CL45" s="52" t="s">
        <v>2</v>
      </c>
      <c r="CM45" s="16" t="s">
        <v>3</v>
      </c>
      <c r="CN45" s="52" t="s">
        <v>2</v>
      </c>
      <c r="CO45" s="16" t="s">
        <v>3</v>
      </c>
      <c r="CP45" s="47" t="s">
        <v>2</v>
      </c>
      <c r="CQ45" s="16" t="s">
        <v>3</v>
      </c>
      <c r="CR45" s="47" t="s">
        <v>2</v>
      </c>
      <c r="CS45" s="16" t="s">
        <v>3</v>
      </c>
      <c r="CT45" s="47" t="s">
        <v>2</v>
      </c>
      <c r="CU45" s="16" t="s">
        <v>3</v>
      </c>
      <c r="CV45" s="47" t="s">
        <v>2</v>
      </c>
      <c r="CW45" s="16" t="s">
        <v>3</v>
      </c>
      <c r="CX45" s="47" t="s">
        <v>2</v>
      </c>
      <c r="CY45" s="16" t="s">
        <v>3</v>
      </c>
      <c r="CZ45" s="80" t="s">
        <v>2</v>
      </c>
      <c r="DA45" s="16" t="s">
        <v>3</v>
      </c>
      <c r="DB45" s="72" t="s">
        <v>2</v>
      </c>
      <c r="DC45" s="13" t="s">
        <v>3</v>
      </c>
      <c r="DD45" s="80" t="s">
        <v>2</v>
      </c>
      <c r="DE45" s="80" t="s">
        <v>3</v>
      </c>
      <c r="DF45" s="226" t="s">
        <v>2</v>
      </c>
      <c r="DG45" s="225" t="s">
        <v>3</v>
      </c>
      <c r="DH45" s="385"/>
      <c r="DI45" s="386"/>
      <c r="DJ45" s="142"/>
      <c r="DK45" s="142"/>
    </row>
    <row r="46" spans="1:115" hidden="1" x14ac:dyDescent="0.25">
      <c r="A46" s="80" t="s">
        <v>119</v>
      </c>
      <c r="B46" s="187"/>
      <c r="C46" s="188"/>
      <c r="D46" s="189"/>
      <c r="E46" s="188"/>
      <c r="F46" s="190"/>
      <c r="G46" s="191"/>
      <c r="H46" s="192"/>
      <c r="I46" s="188"/>
      <c r="J46" s="192"/>
      <c r="K46" s="188"/>
      <c r="L46" s="192"/>
      <c r="M46" s="188"/>
      <c r="N46" s="192"/>
      <c r="O46" s="188"/>
      <c r="P46" s="192"/>
      <c r="Q46" s="188"/>
      <c r="R46" s="192"/>
      <c r="S46" s="188"/>
      <c r="T46" s="193"/>
      <c r="U46" s="188"/>
      <c r="V46" s="194"/>
      <c r="W46" s="188"/>
      <c r="X46" s="194"/>
      <c r="Y46" s="188"/>
      <c r="Z46" s="192"/>
      <c r="AA46" s="188"/>
      <c r="AB46" s="47"/>
      <c r="AC46" s="47"/>
      <c r="AD46" s="229">
        <v>1</v>
      </c>
      <c r="AE46" s="230"/>
      <c r="AF46" s="231">
        <v>1</v>
      </c>
      <c r="AG46" s="232"/>
      <c r="AH46" s="231"/>
      <c r="AI46" s="233"/>
      <c r="AJ46" s="231">
        <v>4</v>
      </c>
      <c r="AK46" s="233"/>
      <c r="AL46" s="227">
        <v>4</v>
      </c>
      <c r="AM46" s="228"/>
      <c r="AN46" s="47">
        <v>0</v>
      </c>
      <c r="AO46" s="16">
        <v>0</v>
      </c>
      <c r="AP46" s="46">
        <v>1</v>
      </c>
      <c r="AQ46" s="22">
        <v>1790</v>
      </c>
      <c r="AR46" s="47">
        <v>0</v>
      </c>
      <c r="AS46" s="16">
        <v>0</v>
      </c>
      <c r="AT46" s="46">
        <v>0</v>
      </c>
      <c r="AU46" s="22">
        <v>0</v>
      </c>
      <c r="AV46" s="243">
        <v>3</v>
      </c>
      <c r="AW46" s="244">
        <v>9500</v>
      </c>
      <c r="AX46" s="47"/>
      <c r="AY46" s="16"/>
      <c r="AZ46" s="47"/>
      <c r="BA46" s="16"/>
      <c r="BB46" s="47"/>
      <c r="BC46" s="16"/>
      <c r="BD46" s="47">
        <v>1</v>
      </c>
      <c r="BE46" s="16">
        <v>2250</v>
      </c>
      <c r="BF46" s="47"/>
      <c r="BG46" s="16"/>
      <c r="BH46" s="47"/>
      <c r="BI46" s="16"/>
      <c r="BJ46" s="47"/>
      <c r="BK46" s="16"/>
      <c r="BL46" s="47"/>
      <c r="BM46" s="16"/>
      <c r="BN46" s="64"/>
      <c r="BO46" s="16"/>
      <c r="BP46" s="131">
        <v>1</v>
      </c>
      <c r="BQ46" s="132">
        <v>297</v>
      </c>
      <c r="BR46" s="277">
        <v>2</v>
      </c>
      <c r="BS46" s="215">
        <v>4377</v>
      </c>
      <c r="BT46" s="47"/>
      <c r="BU46" s="13"/>
      <c r="BV46" s="47"/>
      <c r="BW46" s="16"/>
      <c r="BX46" s="52"/>
      <c r="BY46" s="16"/>
      <c r="BZ46" s="47"/>
      <c r="CA46" s="16"/>
      <c r="CB46" s="47"/>
      <c r="CC46" s="16"/>
      <c r="CD46" s="21">
        <v>1</v>
      </c>
      <c r="CE46" s="22">
        <v>1000</v>
      </c>
      <c r="CF46" s="46"/>
      <c r="CG46" s="22"/>
      <c r="CH46" s="114">
        <v>1</v>
      </c>
      <c r="CI46" s="115">
        <v>1000</v>
      </c>
      <c r="CJ46" s="46">
        <v>1</v>
      </c>
      <c r="CK46" s="22">
        <v>2204</v>
      </c>
      <c r="CL46" s="73"/>
      <c r="CM46" s="22"/>
      <c r="CN46" s="73"/>
      <c r="CO46" s="22"/>
      <c r="CP46" s="46"/>
      <c r="CQ46" s="22"/>
      <c r="CR46" s="214">
        <v>1</v>
      </c>
      <c r="CS46" s="22">
        <v>4782</v>
      </c>
      <c r="CT46" s="214">
        <v>3</v>
      </c>
      <c r="CU46" s="215">
        <v>5168</v>
      </c>
      <c r="CV46" s="72">
        <f t="shared" ref="CV46" si="25">CN46+CP46+CR46+CT46</f>
        <v>4</v>
      </c>
      <c r="CW46" s="13">
        <f t="shared" ref="CW46" si="26">CO46+CQ46+CS46+CU46</f>
        <v>9950</v>
      </c>
      <c r="CX46" s="46"/>
      <c r="CY46" s="22"/>
      <c r="CZ46" s="21"/>
      <c r="DA46" s="22"/>
      <c r="DB46" s="269"/>
      <c r="DC46" s="85"/>
      <c r="DD46" s="21"/>
      <c r="DE46" s="21"/>
      <c r="DF46" s="265">
        <f>72+CD46+CH46+CJ46+CR46+CT46</f>
        <v>79</v>
      </c>
      <c r="DG46" s="120">
        <f>105126+AQ46+AW46+AY46+BE46+BQ46+BS46+CE46+CI46+CK46+CS46+CU46</f>
        <v>137494</v>
      </c>
      <c r="DH46" s="385"/>
      <c r="DI46" s="386"/>
      <c r="DJ46" s="142"/>
      <c r="DK46" s="142"/>
    </row>
    <row r="47" spans="1:115" hidden="1" x14ac:dyDescent="0.25">
      <c r="A47" s="197" t="s">
        <v>116</v>
      </c>
      <c r="B47" s="187"/>
      <c r="C47" s="188"/>
      <c r="D47" s="189"/>
      <c r="E47" s="188"/>
      <c r="F47" s="190"/>
      <c r="G47" s="191"/>
      <c r="H47" s="192"/>
      <c r="I47" s="188"/>
      <c r="J47" s="192"/>
      <c r="K47" s="188"/>
      <c r="L47" s="192"/>
      <c r="M47" s="188"/>
      <c r="N47" s="192"/>
      <c r="O47" s="188"/>
      <c r="P47" s="192"/>
      <c r="Q47" s="188"/>
      <c r="R47" s="192"/>
      <c r="S47" s="188"/>
      <c r="T47" s="193"/>
      <c r="U47" s="188"/>
      <c r="V47" s="194"/>
      <c r="W47" s="188"/>
      <c r="X47" s="194"/>
      <c r="Y47" s="188"/>
      <c r="Z47" s="192"/>
      <c r="AA47" s="188"/>
      <c r="AB47" s="47"/>
      <c r="AC47" s="47"/>
      <c r="AD47" s="229">
        <v>11</v>
      </c>
      <c r="AE47" s="230"/>
      <c r="AF47" s="229">
        <v>4</v>
      </c>
      <c r="AG47" s="230"/>
      <c r="AH47" s="231">
        <v>2</v>
      </c>
      <c r="AI47" s="233"/>
      <c r="AJ47" s="231">
        <v>4</v>
      </c>
      <c r="AK47" s="233"/>
      <c r="AL47" s="227">
        <v>4</v>
      </c>
      <c r="AM47" s="228"/>
      <c r="AN47" s="47"/>
      <c r="AO47" s="16"/>
      <c r="AP47" s="46">
        <v>1</v>
      </c>
      <c r="AQ47" s="22">
        <v>1790</v>
      </c>
      <c r="AR47" s="47">
        <v>0</v>
      </c>
      <c r="AS47" s="16">
        <v>0</v>
      </c>
      <c r="AT47" s="46">
        <v>0</v>
      </c>
      <c r="AU47" s="22">
        <v>0</v>
      </c>
      <c r="AV47" s="243">
        <v>3</v>
      </c>
      <c r="AW47" s="244">
        <v>9500</v>
      </c>
      <c r="AX47" s="47"/>
      <c r="AY47" s="16"/>
      <c r="AZ47" s="47"/>
      <c r="BA47" s="16"/>
      <c r="BB47" s="47"/>
      <c r="BC47" s="16"/>
      <c r="BD47" s="47">
        <v>1</v>
      </c>
      <c r="BE47" s="16">
        <v>2250</v>
      </c>
      <c r="BF47" s="47"/>
      <c r="BG47" s="16"/>
      <c r="BH47" s="47"/>
      <c r="BI47" s="16"/>
      <c r="BJ47" s="47"/>
      <c r="BK47" s="16"/>
      <c r="BL47" s="47"/>
      <c r="BM47" s="16"/>
      <c r="BN47" s="64"/>
      <c r="BO47" s="16"/>
      <c r="BP47" s="131">
        <v>1</v>
      </c>
      <c r="BQ47" s="132">
        <v>297</v>
      </c>
      <c r="BR47" s="277">
        <v>2</v>
      </c>
      <c r="BS47" s="215">
        <v>4377</v>
      </c>
      <c r="BT47" s="47"/>
      <c r="BU47" s="13"/>
      <c r="BV47" s="47"/>
      <c r="BW47" s="16"/>
      <c r="BX47" s="52"/>
      <c r="BY47" s="16"/>
      <c r="BZ47" s="47"/>
      <c r="CA47" s="16"/>
      <c r="CB47" s="47"/>
      <c r="CC47" s="16"/>
      <c r="CD47" s="80">
        <v>1</v>
      </c>
      <c r="CE47" s="16">
        <v>1000</v>
      </c>
      <c r="CF47" s="47"/>
      <c r="CG47" s="16"/>
      <c r="CH47" s="114">
        <v>1</v>
      </c>
      <c r="CI47" s="115">
        <v>1000</v>
      </c>
      <c r="CJ47" s="47">
        <v>1</v>
      </c>
      <c r="CK47" s="16">
        <v>2204</v>
      </c>
      <c r="CL47" s="52"/>
      <c r="CM47" s="16"/>
      <c r="CN47" s="52"/>
      <c r="CO47" s="16"/>
      <c r="CP47" s="47"/>
      <c r="CQ47" s="16"/>
      <c r="CR47" s="214">
        <v>1</v>
      </c>
      <c r="CS47" s="16">
        <v>4782</v>
      </c>
      <c r="CT47" s="214">
        <v>3</v>
      </c>
      <c r="CU47" s="215">
        <v>5168</v>
      </c>
      <c r="CV47" s="72">
        <f t="shared" ref="CV47:CV48" si="27">CN47+CP47+CR47+CT47</f>
        <v>4</v>
      </c>
      <c r="CW47" s="13">
        <f t="shared" ref="CW47:CW48" si="28">CO47+CQ47+CS47+CU47</f>
        <v>9950</v>
      </c>
      <c r="CX47" s="47"/>
      <c r="CY47" s="16"/>
      <c r="CZ47" s="80"/>
      <c r="DA47" s="16"/>
      <c r="DB47" s="72"/>
      <c r="DC47" s="13"/>
      <c r="DD47" s="80"/>
      <c r="DE47" s="80"/>
      <c r="DF47" s="117">
        <f>72+CD47+CH47+CJ47+CR47+CT47</f>
        <v>79</v>
      </c>
      <c r="DG47" s="120">
        <f>105126+AQ47+AW47+AY47+BE47+BQ47+BS47+CE47+CI47+CK47+CS47+CU47</f>
        <v>137494</v>
      </c>
      <c r="DH47" s="385"/>
      <c r="DI47" s="386"/>
      <c r="DJ47" s="142"/>
      <c r="DK47" s="142"/>
    </row>
    <row r="48" spans="1:115" hidden="1" x14ac:dyDescent="0.25">
      <c r="A48" s="197" t="s">
        <v>118</v>
      </c>
      <c r="B48" s="187"/>
      <c r="C48" s="188"/>
      <c r="D48" s="189"/>
      <c r="E48" s="188"/>
      <c r="F48" s="190"/>
      <c r="G48" s="191"/>
      <c r="H48" s="192"/>
      <c r="I48" s="188"/>
      <c r="J48" s="192"/>
      <c r="K48" s="188"/>
      <c r="L48" s="192"/>
      <c r="M48" s="188"/>
      <c r="N48" s="192"/>
      <c r="O48" s="188"/>
      <c r="P48" s="192"/>
      <c r="Q48" s="188"/>
      <c r="R48" s="192"/>
      <c r="S48" s="188"/>
      <c r="T48" s="193"/>
      <c r="U48" s="188"/>
      <c r="V48" s="194"/>
      <c r="W48" s="188"/>
      <c r="X48" s="194"/>
      <c r="Y48" s="188"/>
      <c r="Z48" s="192"/>
      <c r="AA48" s="188"/>
      <c r="AB48" s="47"/>
      <c r="AC48" s="47"/>
      <c r="AD48" s="229">
        <v>8</v>
      </c>
      <c r="AE48" s="230"/>
      <c r="AF48" s="229">
        <v>4</v>
      </c>
      <c r="AG48" s="230"/>
      <c r="AH48" s="231">
        <v>2</v>
      </c>
      <c r="AI48" s="233"/>
      <c r="AJ48" s="231">
        <v>4</v>
      </c>
      <c r="AK48" s="233"/>
      <c r="AL48" s="227">
        <v>2</v>
      </c>
      <c r="AM48" s="228"/>
      <c r="AN48" s="47"/>
      <c r="AO48" s="16"/>
      <c r="AP48" s="46">
        <v>1</v>
      </c>
      <c r="AQ48" s="22">
        <v>1790</v>
      </c>
      <c r="AR48" s="47">
        <v>0</v>
      </c>
      <c r="AS48" s="16">
        <v>0</v>
      </c>
      <c r="AT48" s="46">
        <v>0</v>
      </c>
      <c r="AU48" s="22">
        <v>0</v>
      </c>
      <c r="AV48" s="243">
        <v>3</v>
      </c>
      <c r="AW48" s="244">
        <v>9500</v>
      </c>
      <c r="AX48" s="47"/>
      <c r="AY48" s="16"/>
      <c r="AZ48" s="47"/>
      <c r="BA48" s="16"/>
      <c r="BB48" s="47"/>
      <c r="BC48" s="16"/>
      <c r="BD48" s="47">
        <v>1</v>
      </c>
      <c r="BE48" s="16">
        <v>2250</v>
      </c>
      <c r="BF48" s="47"/>
      <c r="BG48" s="16"/>
      <c r="BH48" s="47"/>
      <c r="BI48" s="16"/>
      <c r="BJ48" s="47"/>
      <c r="BK48" s="16"/>
      <c r="BL48" s="47"/>
      <c r="BM48" s="16"/>
      <c r="BN48" s="64"/>
      <c r="BO48" s="16"/>
      <c r="BP48" s="131">
        <v>1</v>
      </c>
      <c r="BQ48" s="132">
        <v>297</v>
      </c>
      <c r="BR48" s="277">
        <v>2</v>
      </c>
      <c r="BS48" s="215">
        <v>4377</v>
      </c>
      <c r="BT48" s="47"/>
      <c r="BU48" s="13"/>
      <c r="BV48" s="47"/>
      <c r="BW48" s="16"/>
      <c r="BX48" s="52"/>
      <c r="BY48" s="16"/>
      <c r="BZ48" s="47"/>
      <c r="CA48" s="16"/>
      <c r="CB48" s="47"/>
      <c r="CC48" s="16"/>
      <c r="CD48" s="80">
        <v>1</v>
      </c>
      <c r="CE48" s="16">
        <v>1000</v>
      </c>
      <c r="CF48" s="47"/>
      <c r="CG48" s="16"/>
      <c r="CH48" s="114">
        <v>1</v>
      </c>
      <c r="CI48" s="115">
        <v>1000</v>
      </c>
      <c r="CJ48" s="47">
        <v>1</v>
      </c>
      <c r="CK48" s="16">
        <v>2204</v>
      </c>
      <c r="CL48" s="52"/>
      <c r="CM48" s="16"/>
      <c r="CN48" s="52"/>
      <c r="CO48" s="16"/>
      <c r="CP48" s="47"/>
      <c r="CQ48" s="16"/>
      <c r="CR48" s="214">
        <v>1</v>
      </c>
      <c r="CS48" s="16">
        <v>4782</v>
      </c>
      <c r="CT48" s="214">
        <v>3</v>
      </c>
      <c r="CU48" s="215">
        <v>5168</v>
      </c>
      <c r="CV48" s="72">
        <f t="shared" si="27"/>
        <v>4</v>
      </c>
      <c r="CW48" s="13">
        <f t="shared" si="28"/>
        <v>9950</v>
      </c>
      <c r="CX48" s="47"/>
      <c r="CY48" s="16"/>
      <c r="CZ48" s="80"/>
      <c r="DA48" s="16"/>
      <c r="DB48" s="72"/>
      <c r="DC48" s="13"/>
      <c r="DD48" s="80"/>
      <c r="DE48" s="80"/>
      <c r="DF48" s="45">
        <f>65+CD48+CH48+CJ48+CR48+CT48</f>
        <v>72</v>
      </c>
      <c r="DG48" s="98">
        <f>91533+AQ48+AW48+AY48+BE48+BS48+BQ48+CE48+CI48+CK48+CS48+CU48</f>
        <v>123901</v>
      </c>
      <c r="DH48" s="385"/>
      <c r="DI48" s="386"/>
      <c r="DJ48" s="142"/>
      <c r="DK48" s="142"/>
    </row>
    <row r="49" spans="1:116" hidden="1" x14ac:dyDescent="0.25">
      <c r="A49" s="197" t="s">
        <v>117</v>
      </c>
      <c r="B49" s="187"/>
      <c r="C49" s="188"/>
      <c r="D49" s="189"/>
      <c r="E49" s="188"/>
      <c r="F49" s="190"/>
      <c r="G49" s="191"/>
      <c r="H49" s="192"/>
      <c r="I49" s="188"/>
      <c r="J49" s="192"/>
      <c r="K49" s="188"/>
      <c r="L49" s="192"/>
      <c r="M49" s="188"/>
      <c r="N49" s="192"/>
      <c r="O49" s="188"/>
      <c r="P49" s="192"/>
      <c r="Q49" s="188"/>
      <c r="R49" s="192"/>
      <c r="S49" s="188"/>
      <c r="T49" s="193"/>
      <c r="U49" s="188"/>
      <c r="V49" s="194"/>
      <c r="W49" s="188"/>
      <c r="X49" s="194"/>
      <c r="Y49" s="188"/>
      <c r="Z49" s="192"/>
      <c r="AA49" s="188"/>
      <c r="AB49" s="47"/>
      <c r="AC49" s="47"/>
      <c r="AD49" s="229">
        <v>3</v>
      </c>
      <c r="AE49" s="230"/>
      <c r="AF49" s="229">
        <v>0</v>
      </c>
      <c r="AG49" s="230"/>
      <c r="AH49" s="231"/>
      <c r="AI49" s="233"/>
      <c r="AJ49" s="231"/>
      <c r="AK49" s="233"/>
      <c r="AL49" s="227">
        <v>2</v>
      </c>
      <c r="AM49" s="228"/>
      <c r="AN49" s="47"/>
      <c r="AO49" s="16"/>
      <c r="AP49" s="46"/>
      <c r="AQ49" s="22"/>
      <c r="AR49" s="47">
        <v>0</v>
      </c>
      <c r="AS49" s="16">
        <v>0</v>
      </c>
      <c r="AT49" s="46">
        <v>0</v>
      </c>
      <c r="AU49" s="22">
        <v>0</v>
      </c>
      <c r="AV49" s="246">
        <v>0</v>
      </c>
      <c r="AW49" s="245">
        <v>0</v>
      </c>
      <c r="AX49" s="47"/>
      <c r="AY49" s="16"/>
      <c r="AZ49" s="47"/>
      <c r="BA49" s="16"/>
      <c r="BB49" s="47"/>
      <c r="BC49" s="16"/>
      <c r="BD49" s="47"/>
      <c r="BE49" s="16"/>
      <c r="BF49" s="47"/>
      <c r="BG49" s="16"/>
      <c r="BH49" s="47"/>
      <c r="BI49" s="16"/>
      <c r="BJ49" s="47"/>
      <c r="BK49" s="16"/>
      <c r="BL49" s="47"/>
      <c r="BM49" s="16"/>
      <c r="BN49" s="64"/>
      <c r="BO49" s="16"/>
      <c r="BP49" s="267"/>
      <c r="BQ49" s="268"/>
      <c r="BR49" s="21"/>
      <c r="BS49" s="22"/>
      <c r="BT49" s="46"/>
      <c r="BU49" s="85"/>
      <c r="BV49" s="46"/>
      <c r="BW49" s="22"/>
      <c r="BX49" s="73"/>
      <c r="BY49" s="22"/>
      <c r="BZ49" s="46"/>
      <c r="CA49" s="22"/>
      <c r="CB49" s="46"/>
      <c r="CC49" s="22"/>
      <c r="CD49" s="21"/>
      <c r="CE49" s="22"/>
      <c r="CF49" s="46"/>
      <c r="CG49" s="22"/>
      <c r="CH49" s="114"/>
      <c r="CI49" s="115"/>
      <c r="CJ49" s="46"/>
      <c r="CK49" s="22"/>
      <c r="CL49" s="73"/>
      <c r="CM49" s="22"/>
      <c r="CN49" s="73"/>
      <c r="CO49" s="22"/>
      <c r="CP49" s="46"/>
      <c r="CQ49" s="22"/>
      <c r="CR49" s="46"/>
      <c r="CS49" s="22"/>
      <c r="CT49" s="46"/>
      <c r="CU49" s="22"/>
      <c r="CV49" s="72"/>
      <c r="CW49" s="13"/>
      <c r="CX49" s="46"/>
      <c r="CY49" s="22"/>
      <c r="CZ49" s="21"/>
      <c r="DA49" s="22"/>
      <c r="DB49" s="269"/>
      <c r="DC49" s="85"/>
      <c r="DD49" s="21"/>
      <c r="DE49" s="21"/>
      <c r="DF49" s="270">
        <f>2+AD49+AF49+AJ49+AH49+AL49+AN49+AV49+AX49</f>
        <v>7</v>
      </c>
      <c r="DG49" s="85">
        <f>13592+AW49+AY49</f>
        <v>13592</v>
      </c>
      <c r="DH49" s="387"/>
      <c r="DI49" s="388"/>
      <c r="DJ49" s="142"/>
      <c r="DK49" s="142"/>
    </row>
    <row r="50" spans="1:116" s="219" customFormat="1" ht="78.75" hidden="1" x14ac:dyDescent="0.25">
      <c r="A50" s="203" t="s">
        <v>132</v>
      </c>
      <c r="B50" s="204"/>
      <c r="C50" s="205"/>
      <c r="D50" s="206"/>
      <c r="E50" s="205"/>
      <c r="F50" s="207"/>
      <c r="G50" s="78"/>
      <c r="H50" s="208"/>
      <c r="I50" s="205"/>
      <c r="J50" s="208"/>
      <c r="K50" s="205"/>
      <c r="L50" s="208"/>
      <c r="M50" s="205"/>
      <c r="N50" s="208"/>
      <c r="O50" s="205"/>
      <c r="P50" s="208"/>
      <c r="Q50" s="205"/>
      <c r="R50" s="208"/>
      <c r="S50" s="205"/>
      <c r="T50" s="209"/>
      <c r="U50" s="205"/>
      <c r="V50" s="210"/>
      <c r="W50" s="205"/>
      <c r="X50" s="210"/>
      <c r="Y50" s="205"/>
      <c r="Z50" s="208">
        <v>1</v>
      </c>
      <c r="AA50" s="205">
        <v>500</v>
      </c>
      <c r="AB50" s="211">
        <v>1</v>
      </c>
      <c r="AC50" s="211">
        <v>500</v>
      </c>
      <c r="AD50" s="212">
        <v>1</v>
      </c>
      <c r="AE50" s="212">
        <v>800</v>
      </c>
      <c r="AF50" s="212"/>
      <c r="AG50" s="212"/>
      <c r="AH50" s="211">
        <v>1</v>
      </c>
      <c r="AI50" s="213">
        <v>500</v>
      </c>
      <c r="AJ50" s="208">
        <v>2</v>
      </c>
      <c r="AK50" s="205">
        <v>950</v>
      </c>
      <c r="AL50" s="214">
        <v>3</v>
      </c>
      <c r="AM50" s="215">
        <v>1900</v>
      </c>
      <c r="AN50" s="214"/>
      <c r="AO50" s="215"/>
      <c r="AP50" s="46">
        <v>2</v>
      </c>
      <c r="AQ50" s="22">
        <v>1250</v>
      </c>
      <c r="AR50" s="208">
        <v>3</v>
      </c>
      <c r="AS50" s="205">
        <v>1000</v>
      </c>
      <c r="AT50" s="214">
        <v>2</v>
      </c>
      <c r="AU50" s="215">
        <v>1300</v>
      </c>
      <c r="AV50" s="247">
        <v>1</v>
      </c>
      <c r="AW50" s="249">
        <v>500</v>
      </c>
      <c r="AX50" s="214">
        <v>3</v>
      </c>
      <c r="AY50" s="215">
        <v>600</v>
      </c>
      <c r="AZ50" s="214">
        <v>3</v>
      </c>
      <c r="BA50" s="215">
        <v>900</v>
      </c>
      <c r="BB50" s="214">
        <v>3</v>
      </c>
      <c r="BC50" s="215">
        <v>600</v>
      </c>
      <c r="BD50" s="214">
        <v>2</v>
      </c>
      <c r="BE50" s="215">
        <v>1000</v>
      </c>
      <c r="BF50" s="214">
        <v>3</v>
      </c>
      <c r="BG50" s="215">
        <v>1500</v>
      </c>
      <c r="BH50" s="208">
        <v>2</v>
      </c>
      <c r="BI50" s="205">
        <v>400</v>
      </c>
      <c r="BJ50" s="214">
        <v>3</v>
      </c>
      <c r="BK50" s="215">
        <v>600</v>
      </c>
      <c r="BL50" s="214">
        <v>2</v>
      </c>
      <c r="BM50" s="215">
        <v>600</v>
      </c>
      <c r="BN50" s="216">
        <v>1</v>
      </c>
      <c r="BO50" s="215">
        <v>400</v>
      </c>
      <c r="BP50" s="267">
        <v>1</v>
      </c>
      <c r="BQ50" s="268">
        <v>300</v>
      </c>
      <c r="BR50" s="277"/>
      <c r="BS50" s="215"/>
      <c r="BT50" s="114">
        <v>3</v>
      </c>
      <c r="BU50" s="120">
        <v>900</v>
      </c>
      <c r="BV50" s="46">
        <v>2</v>
      </c>
      <c r="BW50" s="22">
        <v>370</v>
      </c>
      <c r="BX50" s="73"/>
      <c r="BY50" s="22"/>
      <c r="BZ50" s="46">
        <v>1</v>
      </c>
      <c r="CA50" s="22">
        <v>200</v>
      </c>
      <c r="CB50" s="46">
        <v>1</v>
      </c>
      <c r="CC50" s="22">
        <v>200</v>
      </c>
      <c r="CD50" s="21">
        <v>1</v>
      </c>
      <c r="CE50" s="22">
        <v>200</v>
      </c>
      <c r="CF50" s="46">
        <v>3</v>
      </c>
      <c r="CG50" s="22">
        <v>430</v>
      </c>
      <c r="CH50" s="114">
        <v>1</v>
      </c>
      <c r="CI50" s="115">
        <v>200</v>
      </c>
      <c r="CJ50" s="214">
        <v>1</v>
      </c>
      <c r="CK50" s="215">
        <v>900</v>
      </c>
      <c r="CL50" s="73">
        <v>1</v>
      </c>
      <c r="CM50" s="22">
        <v>500</v>
      </c>
      <c r="CN50" s="73"/>
      <c r="CO50" s="22"/>
      <c r="CP50" s="46">
        <v>1</v>
      </c>
      <c r="CQ50" s="22">
        <v>200</v>
      </c>
      <c r="CR50" s="46">
        <v>1</v>
      </c>
      <c r="CS50" s="22">
        <v>900</v>
      </c>
      <c r="CT50" s="46">
        <v>2</v>
      </c>
      <c r="CU50" s="22">
        <v>1150</v>
      </c>
      <c r="CV50" s="72">
        <f t="shared" ref="CV50:CV52" si="29">CN50+CP50+CR50+CT50</f>
        <v>4</v>
      </c>
      <c r="CW50" s="13">
        <f t="shared" ref="CW50:CW52" si="30">CO50+CQ50+CS50+CU50</f>
        <v>2250</v>
      </c>
      <c r="CX50" s="46"/>
      <c r="CY50" s="22"/>
      <c r="CZ50" s="21"/>
      <c r="DA50" s="22"/>
      <c r="DB50" s="269"/>
      <c r="DC50" s="85"/>
      <c r="DD50" s="21"/>
      <c r="DE50" s="21"/>
      <c r="DF50" s="271">
        <f>B50+CZ50+DD50+D50+F50+H50+J50+L50+N50+P50+R50+T50+V50+X50+Z50+AB50+AD50+AF50+AH50+AJ50+AL50+AN50+AP50+AR50+AT50+AV50+AX50+AZ50+BB50+BD50+BF50+BH50+BJ50+BL50+BN50+BP50+BR50+BT50+BV50+BX50+BZ50+CB50+CD50+CF50+CH50+CJ50+CL50+CN50+CP50+CR50+CT50+CX50</f>
        <v>58</v>
      </c>
      <c r="DG50" s="24">
        <f>C50+DA50+DE50+E50+G50+I50+K50+M50+O50+Q50+S50+U50+W50+Y50+AA50+AC50+AE50+AG50+AI50+AK50+AM50+AO50+AQ50+AS50+AU50+AW50+AY50+BA50+BC50+BE50+BG50+BI50+BK50+BM50+BO50+BQ50+BS50+BU50+BW50+BY50+CA50+CC50+CE50+CG50+CI50+CK50+CM50+CO50+CQ50+CS50+CU50+CY50</f>
        <v>22250</v>
      </c>
      <c r="DH50" s="217"/>
      <c r="DI50" s="217"/>
      <c r="DJ50" s="218"/>
      <c r="DK50" s="218"/>
    </row>
    <row r="51" spans="1:116" s="219" customFormat="1" ht="63" hidden="1" x14ac:dyDescent="0.25">
      <c r="A51" s="203" t="s">
        <v>133</v>
      </c>
      <c r="B51" s="204"/>
      <c r="C51" s="205"/>
      <c r="D51" s="206"/>
      <c r="E51" s="205"/>
      <c r="F51" s="207"/>
      <c r="G51" s="78"/>
      <c r="H51" s="208"/>
      <c r="I51" s="205"/>
      <c r="J51" s="208"/>
      <c r="K51" s="205"/>
      <c r="L51" s="208"/>
      <c r="M51" s="205"/>
      <c r="N51" s="208"/>
      <c r="O51" s="205"/>
      <c r="P51" s="208"/>
      <c r="Q51" s="205"/>
      <c r="R51" s="208"/>
      <c r="S51" s="205"/>
      <c r="T51" s="209"/>
      <c r="U51" s="205"/>
      <c r="V51" s="210"/>
      <c r="W51" s="205"/>
      <c r="X51" s="210"/>
      <c r="Y51" s="205"/>
      <c r="Z51" s="208"/>
      <c r="AA51" s="205"/>
      <c r="AB51" s="211"/>
      <c r="AC51" s="211"/>
      <c r="AD51" s="212"/>
      <c r="AE51" s="212"/>
      <c r="AF51" s="212"/>
      <c r="AG51" s="212"/>
      <c r="AH51" s="211">
        <v>1</v>
      </c>
      <c r="AI51" s="213">
        <v>150</v>
      </c>
      <c r="AJ51" s="208">
        <v>1</v>
      </c>
      <c r="AK51" s="205">
        <v>170</v>
      </c>
      <c r="AL51" s="208">
        <v>2</v>
      </c>
      <c r="AM51" s="205">
        <v>500</v>
      </c>
      <c r="AN51" s="208">
        <v>1</v>
      </c>
      <c r="AO51" s="205">
        <v>300</v>
      </c>
      <c r="AP51" s="114">
        <v>1</v>
      </c>
      <c r="AQ51" s="115">
        <v>200</v>
      </c>
      <c r="AR51" s="208">
        <v>3</v>
      </c>
      <c r="AS51" s="205">
        <v>900</v>
      </c>
      <c r="AT51" s="208">
        <v>1</v>
      </c>
      <c r="AU51" s="205">
        <v>300</v>
      </c>
      <c r="AV51" s="248">
        <v>1</v>
      </c>
      <c r="AW51" s="250">
        <v>300</v>
      </c>
      <c r="AX51" s="208">
        <v>2</v>
      </c>
      <c r="AY51" s="205">
        <v>400</v>
      </c>
      <c r="AZ51" s="208">
        <v>2</v>
      </c>
      <c r="BA51" s="205">
        <v>400</v>
      </c>
      <c r="BB51" s="208">
        <v>3</v>
      </c>
      <c r="BC51" s="205">
        <v>600</v>
      </c>
      <c r="BD51" s="220"/>
      <c r="BE51" s="221"/>
      <c r="BF51" s="208">
        <v>2</v>
      </c>
      <c r="BG51" s="205">
        <v>500</v>
      </c>
      <c r="BH51" s="208">
        <v>2</v>
      </c>
      <c r="BI51" s="205">
        <v>400</v>
      </c>
      <c r="BJ51" s="208">
        <v>3</v>
      </c>
      <c r="BK51" s="205">
        <v>600</v>
      </c>
      <c r="BL51" s="208">
        <v>2</v>
      </c>
      <c r="BM51" s="205">
        <v>600</v>
      </c>
      <c r="BN51" s="209">
        <v>2</v>
      </c>
      <c r="BO51" s="205">
        <v>600</v>
      </c>
      <c r="BP51" s="275">
        <v>1</v>
      </c>
      <c r="BQ51" s="276">
        <v>300</v>
      </c>
      <c r="BR51" s="182"/>
      <c r="BS51" s="235"/>
      <c r="BT51" s="114">
        <v>2</v>
      </c>
      <c r="BU51" s="120">
        <v>500</v>
      </c>
      <c r="BV51" s="114">
        <v>2</v>
      </c>
      <c r="BW51" s="115">
        <v>370</v>
      </c>
      <c r="BX51" s="121">
        <v>2</v>
      </c>
      <c r="BY51" s="115">
        <v>500</v>
      </c>
      <c r="BZ51" s="114">
        <v>3</v>
      </c>
      <c r="CA51" s="115">
        <v>800</v>
      </c>
      <c r="CB51" s="114">
        <v>3</v>
      </c>
      <c r="CC51" s="115">
        <v>800</v>
      </c>
      <c r="CD51" s="119">
        <v>1</v>
      </c>
      <c r="CE51" s="115">
        <v>200</v>
      </c>
      <c r="CF51" s="114">
        <v>3</v>
      </c>
      <c r="CG51" s="115">
        <v>430</v>
      </c>
      <c r="CH51" s="114">
        <v>1</v>
      </c>
      <c r="CI51" s="115">
        <v>200</v>
      </c>
      <c r="CJ51" s="46">
        <v>1</v>
      </c>
      <c r="CK51" s="22">
        <v>300</v>
      </c>
      <c r="CL51" s="273"/>
      <c r="CM51" s="235"/>
      <c r="CN51" s="121">
        <v>1</v>
      </c>
      <c r="CO51" s="115">
        <v>300</v>
      </c>
      <c r="CP51" s="114">
        <v>2</v>
      </c>
      <c r="CQ51" s="115">
        <v>500</v>
      </c>
      <c r="CR51" s="208">
        <v>1</v>
      </c>
      <c r="CS51" s="205">
        <v>300</v>
      </c>
      <c r="CT51" s="114">
        <v>1</v>
      </c>
      <c r="CU51" s="115">
        <v>250</v>
      </c>
      <c r="CV51" s="72">
        <f t="shared" si="29"/>
        <v>5</v>
      </c>
      <c r="CW51" s="13">
        <f t="shared" si="30"/>
        <v>1350</v>
      </c>
      <c r="CX51" s="234"/>
      <c r="CY51" s="235"/>
      <c r="CZ51" s="182"/>
      <c r="DA51" s="235"/>
      <c r="DB51" s="274"/>
      <c r="DC51" s="272"/>
      <c r="DD51" s="182"/>
      <c r="DE51" s="182"/>
      <c r="DF51" s="271">
        <f>B51+CZ51+DD51+D51+F51+H51+J51+L51+N51+P51+R51+T51+V51+X51+Z51+AB51+AD51+AF51+AH51+AJ51+AL51+AN51+AP51+AR51+AT51+AV51+AX51+AZ51+BB51+BD51+BF51+BH51+BJ51+BL51+BN51+BP51+BR51+BT51+BV51+BX51+BZ51+CB51+CD51+CF51+CH51+CJ51+CL51+CN51+CP51+CR51+CT51+CX51</f>
        <v>53</v>
      </c>
      <c r="DG51" s="24">
        <f>C51+DA51+DE51+E51+G51+I51+K51+M51+O51+Q51+S51+U51+W51+Y51+AA51+AC51+AE51+AG51+AI51+AK51+AM51+AO51+AQ51+AS51+AU51+AW51+AY51+BA51+BC51+BE51+BG51+BI51+BK51+BM51+BO51+BQ51+BS51+BU51+BW51+BY51+CA51+CC51+CE51+CG51+CI51+CK51+CM51+CO51+CQ51+CS51+CU51+CY51</f>
        <v>12670</v>
      </c>
      <c r="DH51" s="217"/>
      <c r="DI51" s="217"/>
      <c r="DJ51" s="218"/>
      <c r="DK51" s="218"/>
    </row>
    <row r="52" spans="1:116" s="219" customFormat="1" ht="31.5" hidden="1" x14ac:dyDescent="0.25">
      <c r="A52" s="203" t="s">
        <v>222</v>
      </c>
      <c r="B52" s="251"/>
      <c r="C52" s="252"/>
      <c r="D52" s="253"/>
      <c r="E52" s="252"/>
      <c r="F52" s="254"/>
      <c r="G52" s="255"/>
      <c r="H52" s="256"/>
      <c r="I52" s="252"/>
      <c r="J52" s="256"/>
      <c r="K52" s="252"/>
      <c r="L52" s="256"/>
      <c r="M52" s="252"/>
      <c r="N52" s="256"/>
      <c r="O52" s="252"/>
      <c r="P52" s="256"/>
      <c r="Q52" s="252"/>
      <c r="R52" s="256"/>
      <c r="S52" s="252"/>
      <c r="T52" s="257"/>
      <c r="U52" s="252"/>
      <c r="V52" s="258"/>
      <c r="W52" s="252"/>
      <c r="X52" s="258"/>
      <c r="Y52" s="252"/>
      <c r="Z52" s="256"/>
      <c r="AA52" s="252"/>
      <c r="AB52" s="259"/>
      <c r="AC52" s="259"/>
      <c r="AD52" s="260"/>
      <c r="AE52" s="260"/>
      <c r="AF52" s="260"/>
      <c r="AG52" s="260"/>
      <c r="AH52" s="259"/>
      <c r="AI52" s="261"/>
      <c r="AJ52" s="256"/>
      <c r="AK52" s="252"/>
      <c r="AL52" s="256"/>
      <c r="AM52" s="252"/>
      <c r="AN52" s="256"/>
      <c r="AO52" s="252"/>
      <c r="AP52" s="262"/>
      <c r="AQ52" s="263"/>
      <c r="AR52" s="256"/>
      <c r="AS52" s="252"/>
      <c r="AT52" s="256"/>
      <c r="AU52" s="252"/>
      <c r="AV52" s="248">
        <v>1</v>
      </c>
      <c r="AW52" s="250">
        <v>1500</v>
      </c>
      <c r="AX52" s="208">
        <v>6</v>
      </c>
      <c r="AY52" s="205">
        <v>6100</v>
      </c>
      <c r="AZ52" s="208">
        <v>4</v>
      </c>
      <c r="BA52" s="205">
        <v>1100</v>
      </c>
      <c r="BB52" s="208">
        <v>12</v>
      </c>
      <c r="BC52" s="205">
        <v>13900</v>
      </c>
      <c r="BD52" s="208">
        <v>12</v>
      </c>
      <c r="BE52" s="205">
        <v>24900</v>
      </c>
      <c r="BF52" s="208">
        <v>11</v>
      </c>
      <c r="BG52" s="205">
        <v>20350</v>
      </c>
      <c r="BH52" s="208">
        <v>9</v>
      </c>
      <c r="BI52" s="205">
        <v>20540</v>
      </c>
      <c r="BJ52" s="208">
        <v>10</v>
      </c>
      <c r="BK52" s="205">
        <v>24370</v>
      </c>
      <c r="BL52" s="208">
        <v>8</v>
      </c>
      <c r="BM52" s="205">
        <v>8100</v>
      </c>
      <c r="BN52" s="209">
        <v>5</v>
      </c>
      <c r="BO52" s="205">
        <v>4000</v>
      </c>
      <c r="BP52" s="275">
        <v>7</v>
      </c>
      <c r="BQ52" s="276">
        <v>14400</v>
      </c>
      <c r="BR52" s="119">
        <v>5</v>
      </c>
      <c r="BS52" s="115">
        <v>12800</v>
      </c>
      <c r="BT52" s="114">
        <f>BT42</f>
        <v>11</v>
      </c>
      <c r="BU52" s="120">
        <f>BU42</f>
        <v>11700</v>
      </c>
      <c r="BV52" s="114">
        <v>6</v>
      </c>
      <c r="BW52" s="115">
        <v>9870</v>
      </c>
      <c r="BX52" s="121">
        <v>7</v>
      </c>
      <c r="BY52" s="115">
        <v>6700</v>
      </c>
      <c r="BZ52" s="114">
        <v>6</v>
      </c>
      <c r="CA52" s="115">
        <v>5900</v>
      </c>
      <c r="CB52" s="114">
        <v>5</v>
      </c>
      <c r="CC52" s="115">
        <v>6960</v>
      </c>
      <c r="CD52" s="119">
        <v>3</v>
      </c>
      <c r="CE52" s="115">
        <v>5100</v>
      </c>
      <c r="CF52" s="114">
        <v>9</v>
      </c>
      <c r="CG52" s="115">
        <v>9130</v>
      </c>
      <c r="CH52" s="114">
        <v>6</v>
      </c>
      <c r="CI52" s="115">
        <v>14480</v>
      </c>
      <c r="CJ52" s="46">
        <v>4</v>
      </c>
      <c r="CK52" s="22">
        <v>3400</v>
      </c>
      <c r="CL52" s="273">
        <v>5</v>
      </c>
      <c r="CM52" s="235">
        <v>6250</v>
      </c>
      <c r="CN52" s="121">
        <v>1</v>
      </c>
      <c r="CO52" s="115">
        <v>400</v>
      </c>
      <c r="CP52" s="234"/>
      <c r="CQ52" s="235"/>
      <c r="CR52" s="208">
        <v>3</v>
      </c>
      <c r="CS52" s="205">
        <v>2050</v>
      </c>
      <c r="CT52" s="114">
        <v>6</v>
      </c>
      <c r="CU52" s="115">
        <v>6650</v>
      </c>
      <c r="CV52" s="72">
        <f t="shared" si="29"/>
        <v>10</v>
      </c>
      <c r="CW52" s="13">
        <f t="shared" si="30"/>
        <v>9100</v>
      </c>
      <c r="CX52" s="234"/>
      <c r="CY52" s="235"/>
      <c r="CZ52" s="182"/>
      <c r="DA52" s="235"/>
      <c r="DB52" s="274"/>
      <c r="DC52" s="272"/>
      <c r="DD52" s="182"/>
      <c r="DE52" s="182"/>
      <c r="DF52" s="271">
        <f>B52+CZ52+DD52+D52+F52+H52+J52+L52+N52+P52+R52+T52+V52+X52+Z52+AB52+AD52+AF52+AH52+AJ52+AL52+AN52+AP52+AR52+AT52+AV52+AX52+AZ52+BB52+BD52+BF52+BH52+BJ52+BL52+BN52+BP52+BR52+BT52+BV52+BX52+BZ52+CB52+CD52+CF52+CH52+CJ52+CL52+CN52+CP52+CR52+CT52+CX52</f>
        <v>162</v>
      </c>
      <c r="DG52" s="24">
        <f t="shared" ref="DG52" si="31">C52+DA52+DE52+E52+G52+I52+K52+M52+O52+Q52+S52+U52+W52+Y52+AA52+AC52+AE52+AG52+AI52+AK52+AM52+AO52+AQ52+AS52+AU52+AW52+AY52+BA52+BC52+BE52+BG52+BI52+BK52+BM52+BO52+BQ52+BS52+BU52+BW52+BY52+CA52+CC52+CE52+CG52+CI52+CK52+CM52+CO52+CQ52+CS52+CU52+CY52</f>
        <v>240650</v>
      </c>
      <c r="DH52" s="217"/>
      <c r="DI52" s="217"/>
      <c r="DJ52" s="218"/>
      <c r="DK52" s="218"/>
    </row>
    <row r="53" spans="1:116" ht="18" hidden="1" customHeight="1" x14ac:dyDescent="0.25">
      <c r="A53" s="399" t="s">
        <v>0</v>
      </c>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399"/>
      <c r="BU53" s="399"/>
      <c r="BV53" s="399"/>
      <c r="BW53" s="399"/>
      <c r="BX53" s="399"/>
      <c r="BY53" s="399"/>
      <c r="BZ53" s="399"/>
      <c r="CA53" s="399"/>
      <c r="CB53" s="399"/>
      <c r="CC53" s="399"/>
      <c r="CD53" s="399"/>
      <c r="CE53" s="399"/>
      <c r="CF53" s="399"/>
      <c r="CG53" s="399"/>
      <c r="CH53" s="399"/>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399"/>
      <c r="DF53" s="399"/>
      <c r="DG53" s="399"/>
      <c r="DH53" s="399"/>
      <c r="DI53" s="399"/>
    </row>
    <row r="54" spans="1:116" ht="17.25" hidden="1" customHeight="1" x14ac:dyDescent="0.25">
      <c r="A54" s="395" t="str">
        <f>A2</f>
        <v>о работе МКК Фонд микрофинансирования НСО на 31.12.2020</v>
      </c>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395"/>
      <c r="CH54" s="395"/>
      <c r="CI54" s="395"/>
      <c r="CJ54" s="395"/>
      <c r="CK54" s="395"/>
      <c r="CL54" s="395"/>
      <c r="CM54" s="395"/>
      <c r="CN54" s="395"/>
      <c r="CO54" s="395"/>
      <c r="CP54" s="395"/>
      <c r="CQ54" s="395"/>
      <c r="CR54" s="395"/>
      <c r="CS54" s="395"/>
      <c r="CT54" s="395"/>
      <c r="CU54" s="395"/>
      <c r="CV54" s="395"/>
      <c r="CW54" s="395"/>
      <c r="CX54" s="395"/>
      <c r="CY54" s="395"/>
      <c r="CZ54" s="395"/>
      <c r="DA54" s="395"/>
      <c r="DB54" s="395"/>
      <c r="DC54" s="395"/>
      <c r="DD54" s="395"/>
      <c r="DE54" s="395"/>
      <c r="DF54" s="395"/>
      <c r="DG54" s="395"/>
      <c r="DH54" s="395"/>
      <c r="DI54" s="395"/>
    </row>
    <row r="55" spans="1:116" x14ac:dyDescent="0.25">
      <c r="A55" s="80" t="s">
        <v>21</v>
      </c>
      <c r="B55" s="38">
        <f>B15</f>
        <v>8</v>
      </c>
      <c r="C55" s="13">
        <f>C15</f>
        <v>14440</v>
      </c>
      <c r="D55" s="69">
        <f>D15</f>
        <v>3</v>
      </c>
      <c r="E55" s="13">
        <f>E15</f>
        <v>9679</v>
      </c>
      <c r="F55" s="45">
        <f>F15</f>
        <v>6</v>
      </c>
      <c r="G55" s="13">
        <f>G15</f>
        <v>15500</v>
      </c>
      <c r="H55" s="45">
        <f>H15</f>
        <v>7</v>
      </c>
      <c r="I55" s="13">
        <f>I15</f>
        <v>7600</v>
      </c>
      <c r="J55" s="72">
        <f>J15</f>
        <v>9</v>
      </c>
      <c r="K55" s="13">
        <f>K15</f>
        <v>17722</v>
      </c>
      <c r="L55" s="45">
        <f>L15</f>
        <v>7</v>
      </c>
      <c r="M55" s="13">
        <f>M15</f>
        <v>13986</v>
      </c>
      <c r="N55" s="45">
        <f>N15</f>
        <v>9</v>
      </c>
      <c r="O55" s="13">
        <f>O15</f>
        <v>21430</v>
      </c>
      <c r="P55" s="45">
        <f>P15</f>
        <v>12</v>
      </c>
      <c r="Q55" s="13">
        <f>Q15</f>
        <v>32500</v>
      </c>
      <c r="R55" s="45">
        <f>R15</f>
        <v>10</v>
      </c>
      <c r="S55" s="13">
        <f>S15</f>
        <v>19100</v>
      </c>
      <c r="T55" s="62">
        <f>T15</f>
        <v>12</v>
      </c>
      <c r="U55" s="13">
        <f>U15</f>
        <v>32954</v>
      </c>
      <c r="V55" s="38">
        <f>V15</f>
        <v>19</v>
      </c>
      <c r="W55" s="13">
        <f>W15</f>
        <v>51150</v>
      </c>
      <c r="X55" s="38">
        <f>X15</f>
        <v>13</v>
      </c>
      <c r="Y55" s="13">
        <f>Y15</f>
        <v>38400</v>
      </c>
      <c r="Z55" s="45">
        <f>Z15</f>
        <v>12</v>
      </c>
      <c r="AA55" s="13">
        <f>AA15</f>
        <v>27895</v>
      </c>
      <c r="AB55" s="45">
        <f>AB15</f>
        <v>11</v>
      </c>
      <c r="AC55" s="13">
        <f>AC15</f>
        <v>32120</v>
      </c>
      <c r="AD55" s="72">
        <f>AD15</f>
        <v>9</v>
      </c>
      <c r="AE55" s="13">
        <f>AE15</f>
        <v>20390</v>
      </c>
      <c r="AF55" s="45">
        <f>AF15</f>
        <v>5</v>
      </c>
      <c r="AG55" s="13">
        <f>AG15</f>
        <v>6255</v>
      </c>
      <c r="AH55" s="45">
        <f>AH15</f>
        <v>9</v>
      </c>
      <c r="AI55" s="13">
        <f>AI15</f>
        <v>24360</v>
      </c>
      <c r="AJ55" s="45">
        <f>AJ15</f>
        <v>18</v>
      </c>
      <c r="AK55" s="13">
        <f>AK15</f>
        <v>31605</v>
      </c>
      <c r="AL55" s="45">
        <f>AL15</f>
        <v>14</v>
      </c>
      <c r="AM55" s="13">
        <f>AM15</f>
        <v>17204</v>
      </c>
      <c r="AN55" s="45">
        <f>AN15</f>
        <v>10</v>
      </c>
      <c r="AO55" s="13">
        <f>AO15</f>
        <v>24950</v>
      </c>
      <c r="AP55" s="45">
        <f>AP15</f>
        <v>13</v>
      </c>
      <c r="AQ55" s="13">
        <f>AQ15</f>
        <v>25600</v>
      </c>
      <c r="AR55" s="45">
        <f>AR15</f>
        <v>10</v>
      </c>
      <c r="AS55" s="13">
        <f>AS15</f>
        <v>9600</v>
      </c>
      <c r="AT55" s="45">
        <f>AT15</f>
        <v>9</v>
      </c>
      <c r="AU55" s="13">
        <f>AU15</f>
        <v>11600</v>
      </c>
      <c r="AV55" s="62">
        <f>AV15</f>
        <v>7</v>
      </c>
      <c r="AW55" s="13">
        <f>AW15</f>
        <v>11800</v>
      </c>
      <c r="AX55" s="45">
        <f>AX15</f>
        <v>16</v>
      </c>
      <c r="AY55" s="13">
        <f>AY15</f>
        <v>37300</v>
      </c>
      <c r="AZ55" s="45">
        <f>AZ15</f>
        <v>8</v>
      </c>
      <c r="BA55" s="13">
        <f>BA15</f>
        <v>12700</v>
      </c>
      <c r="BB55" s="45">
        <f>BB15</f>
        <v>13</v>
      </c>
      <c r="BC55" s="13">
        <f>BC15</f>
        <v>17900</v>
      </c>
      <c r="BD55" s="45">
        <f>BD15</f>
        <v>12</v>
      </c>
      <c r="BE55" s="13">
        <f>BE15</f>
        <v>24900</v>
      </c>
      <c r="BF55" s="45">
        <f>BF15</f>
        <v>11</v>
      </c>
      <c r="BG55" s="13">
        <f>BG15</f>
        <v>20350</v>
      </c>
      <c r="BH55" s="45">
        <f>BH15</f>
        <v>9</v>
      </c>
      <c r="BI55" s="13">
        <v>20540</v>
      </c>
      <c r="BJ55" s="45">
        <f>BJ15</f>
        <v>10</v>
      </c>
      <c r="BK55" s="13">
        <f>BK15</f>
        <v>24370</v>
      </c>
      <c r="BL55" s="45">
        <f>BL15</f>
        <v>8</v>
      </c>
      <c r="BM55" s="13">
        <f>BM15</f>
        <v>8100</v>
      </c>
      <c r="BN55" s="62">
        <f>BN15</f>
        <v>5</v>
      </c>
      <c r="BO55" s="13">
        <f>BO15</f>
        <v>4000</v>
      </c>
      <c r="BP55" s="154">
        <f>BP15</f>
        <v>7</v>
      </c>
      <c r="BQ55" s="13">
        <f>BQ15</f>
        <v>14400</v>
      </c>
      <c r="BR55" s="38">
        <f>BR15</f>
        <v>5</v>
      </c>
      <c r="BS55" s="13">
        <f>BS15</f>
        <v>12800</v>
      </c>
      <c r="BT55" s="45">
        <f>BT15</f>
        <v>11</v>
      </c>
      <c r="BU55" s="13">
        <f>BU15</f>
        <v>11700</v>
      </c>
      <c r="BV55" s="45">
        <f>BV15</f>
        <v>6</v>
      </c>
      <c r="BW55" s="13">
        <f>BW15</f>
        <v>9870</v>
      </c>
      <c r="BX55" s="72">
        <f>BX15</f>
        <v>7</v>
      </c>
      <c r="BY55" s="13">
        <f>BY15</f>
        <v>6700</v>
      </c>
      <c r="BZ55" s="45">
        <f>BZ15</f>
        <v>6</v>
      </c>
      <c r="CA55" s="13">
        <f>CA15</f>
        <v>5900</v>
      </c>
      <c r="CB55" s="45">
        <f>CB15</f>
        <v>9</v>
      </c>
      <c r="CC55" s="13">
        <f>CC15</f>
        <v>17260</v>
      </c>
      <c r="CD55" s="38">
        <f>CD15</f>
        <v>3</v>
      </c>
      <c r="CE55" s="13">
        <f>CE15</f>
        <v>5100</v>
      </c>
      <c r="CF55" s="45">
        <f>CF15</f>
        <v>7</v>
      </c>
      <c r="CG55" s="13">
        <f>CG15</f>
        <v>9130</v>
      </c>
      <c r="CH55" s="45">
        <f>CH15</f>
        <v>6</v>
      </c>
      <c r="CI55" s="13">
        <f>CI15</f>
        <v>14480</v>
      </c>
      <c r="CJ55" s="45">
        <f>CJ15</f>
        <v>8</v>
      </c>
      <c r="CK55" s="13">
        <f>CK15</f>
        <v>15100</v>
      </c>
      <c r="CL55" s="72">
        <f>CL15</f>
        <v>11</v>
      </c>
      <c r="CM55" s="13">
        <f>CM15</f>
        <v>22250</v>
      </c>
      <c r="CN55" s="72">
        <f>CN15</f>
        <v>5</v>
      </c>
      <c r="CO55" s="13">
        <f>CO15</f>
        <v>6100</v>
      </c>
      <c r="CP55" s="45">
        <f>CP15</f>
        <v>6</v>
      </c>
      <c r="CQ55" s="13">
        <f>CQ15</f>
        <v>7300</v>
      </c>
      <c r="CR55" s="45">
        <f>CR15</f>
        <v>9</v>
      </c>
      <c r="CS55" s="13">
        <f>CS15</f>
        <v>16290</v>
      </c>
      <c r="CT55" s="45">
        <f>CT15</f>
        <v>14</v>
      </c>
      <c r="CU55" s="13">
        <f>CU15</f>
        <v>22950</v>
      </c>
      <c r="CV55" s="72">
        <f t="shared" ref="CV55" si="32">CN55+CP55+CR55+CT55</f>
        <v>34</v>
      </c>
      <c r="CW55" s="13">
        <f t="shared" ref="CW55" si="33">CO55+CQ55+CS55+CU55</f>
        <v>52640</v>
      </c>
      <c r="CX55" s="45">
        <f>CX15</f>
        <v>0</v>
      </c>
      <c r="CY55" s="13">
        <f>CY15</f>
        <v>0</v>
      </c>
      <c r="CZ55" s="38">
        <f>CZ15</f>
        <v>0</v>
      </c>
      <c r="DA55" s="13">
        <f>DA15</f>
        <v>0</v>
      </c>
      <c r="DB55" s="72">
        <f t="shared" ref="DB55" si="34">CR55+CT55+CX55+CZ55</f>
        <v>23</v>
      </c>
      <c r="DC55" s="13">
        <f t="shared" ref="DC55" si="35">CS55+CU55+CY55+DA55</f>
        <v>39240</v>
      </c>
      <c r="DD55" s="38">
        <f>DD15</f>
        <v>0</v>
      </c>
      <c r="DE55" s="13">
        <f>DE15</f>
        <v>0</v>
      </c>
      <c r="DF55" s="35">
        <f>B55+CZ55+DD55+D55+F55+H55+J55+L55+N55+P55+R55+T55+V55+X55+Z55+AB55+AD55+AF55+AH55+AJ55+AL55+AN55+AP55+AR55+AT55+AV55+AX55+AZ55+BB55+BD55+BF55+BH55+BJ55+BL55+BN55+BP55+BR55+BT55+BV55+BX55+BZ55+CB55+CD55+CF55+CH55+CJ55+CL55+CN55+CP55+CR55+CT55+CX55</f>
        <v>454</v>
      </c>
      <c r="DG55" s="15">
        <f t="shared" ref="DG55:DG66" si="36">C55+DA55+DE55+E55+G55+I55+K55+M55+O55+Q55+S55+U55+W55+Y55+AA55+AC55+AE55+AG55+AI55+AK55+AM55+AO55+AQ55+AS55+AU55+AW55+AY55+BA55+BC55+BE55+BG55+BI55+BK55+BM55+BO55+BQ55+BS55+BU55+BW55+BY55+CA55+CC55+CE55+CG55+CI55+CK55+CM55+CO55+CQ55+CS55+CU55+CY55</f>
        <v>885330</v>
      </c>
      <c r="DH55" s="30">
        <f>DF55+3001</f>
        <v>3455</v>
      </c>
      <c r="DI55" s="31">
        <f>DG55+3104943</f>
        <v>3990273</v>
      </c>
      <c r="DJ55" s="142"/>
      <c r="DK55" s="142"/>
      <c r="DL55" s="36"/>
    </row>
    <row r="56" spans="1:116" ht="14.25" customHeight="1" x14ac:dyDescent="0.25">
      <c r="A56" s="4" t="s">
        <v>22</v>
      </c>
      <c r="B56" s="4"/>
      <c r="C56" s="5"/>
      <c r="D56" s="109"/>
      <c r="E56" s="5"/>
      <c r="F56" s="48"/>
      <c r="G56" s="5"/>
      <c r="H56" s="48"/>
      <c r="I56" s="5"/>
      <c r="J56" s="48"/>
      <c r="K56" s="5"/>
      <c r="L56" s="48"/>
      <c r="M56" s="5"/>
      <c r="N56" s="48"/>
      <c r="O56" s="5"/>
      <c r="P56" s="48"/>
      <c r="Q56" s="5"/>
      <c r="R56" s="48"/>
      <c r="S56" s="5"/>
      <c r="T56" s="65"/>
      <c r="U56" s="5"/>
      <c r="V56" s="41"/>
      <c r="W56" s="5"/>
      <c r="X56" s="41"/>
      <c r="Y56" s="5"/>
      <c r="Z56" s="48"/>
      <c r="AA56" s="5"/>
      <c r="AB56" s="48">
        <v>1</v>
      </c>
      <c r="AC56" s="5">
        <v>350</v>
      </c>
      <c r="AD56" s="74"/>
      <c r="AE56" s="5"/>
      <c r="AF56" s="48"/>
      <c r="AG56" s="5"/>
      <c r="AH56" s="48"/>
      <c r="AI56" s="5"/>
      <c r="AJ56" s="48"/>
      <c r="AK56" s="5"/>
      <c r="AL56" s="48"/>
      <c r="AM56" s="5"/>
      <c r="AN56" s="48"/>
      <c r="AO56" s="5"/>
      <c r="AP56" s="48"/>
      <c r="AQ56" s="5"/>
      <c r="AR56" s="48"/>
      <c r="AS56" s="5"/>
      <c r="AT56" s="48"/>
      <c r="AU56" s="5"/>
      <c r="AV56" s="65"/>
      <c r="AW56" s="5"/>
      <c r="AX56" s="48"/>
      <c r="AY56" s="5"/>
      <c r="AZ56" s="48">
        <v>1</v>
      </c>
      <c r="BA56" s="5">
        <v>3500</v>
      </c>
      <c r="BB56" s="48"/>
      <c r="BC56" s="5"/>
      <c r="BD56" s="48"/>
      <c r="BE56" s="5"/>
      <c r="BF56" s="48"/>
      <c r="BG56" s="5"/>
      <c r="BH56" s="48"/>
      <c r="BI56" s="5"/>
      <c r="BJ56" s="48"/>
      <c r="BK56" s="5"/>
      <c r="BL56" s="48"/>
      <c r="BM56" s="5"/>
      <c r="BN56" s="65"/>
      <c r="BO56" s="5"/>
      <c r="BP56" s="128">
        <v>1</v>
      </c>
      <c r="BQ56" s="5">
        <v>2500</v>
      </c>
      <c r="BR56" s="65"/>
      <c r="BS56" s="5"/>
      <c r="BT56" s="48"/>
      <c r="BU56" s="86"/>
      <c r="BV56" s="48"/>
      <c r="BW56" s="5"/>
      <c r="BX56" s="74"/>
      <c r="BY56" s="5"/>
      <c r="BZ56" s="48"/>
      <c r="CA56" s="5"/>
      <c r="CB56" s="48"/>
      <c r="CC56" s="5"/>
      <c r="CD56" s="4"/>
      <c r="CE56" s="5"/>
      <c r="CF56" s="48"/>
      <c r="CG56" s="5"/>
      <c r="CH56" s="48"/>
      <c r="CI56" s="5"/>
      <c r="CJ56" s="48"/>
      <c r="CK56" s="5"/>
      <c r="CL56" s="74"/>
      <c r="CM56" s="5"/>
      <c r="CN56" s="74"/>
      <c r="CO56" s="5"/>
      <c r="CP56" s="48"/>
      <c r="CQ56" s="5"/>
      <c r="CR56" s="48"/>
      <c r="CS56" s="5"/>
      <c r="CT56" s="48"/>
      <c r="CU56" s="5"/>
      <c r="CV56" s="112">
        <f t="shared" ref="CV56:CV79" si="37">CN56+CP56+CR56+CT56</f>
        <v>0</v>
      </c>
      <c r="CW56" s="86">
        <f t="shared" ref="CW56:CW79" si="38">CO56+CQ56+CS56+CU56</f>
        <v>0</v>
      </c>
      <c r="CX56" s="112"/>
      <c r="CY56" s="86"/>
      <c r="CZ56" s="4"/>
      <c r="DA56" s="5"/>
      <c r="DB56" s="112"/>
      <c r="DC56" s="86"/>
      <c r="DD56" s="6"/>
      <c r="DE56" s="7"/>
      <c r="DF56" s="51">
        <f t="shared" ref="DF56:DF66" si="39">B56+CZ56+DD56+D56+F56+H56+J56+L56+N56+P56+R56+T56+V56+X56+Z56+AB56+AD56+AF56+AH56+AJ56+AL56+AN56+AP56+AR56+AT56+AV56+AX56+AZ56+BB56+BD56+BF56+BH56+BJ56+BL56+BN56+BP56+BR56+BT56+BV56+BX56+BZ56+CB56+CD56+CF56+CH56+CJ56+CL56+CN56+CP56+CR56+CT56+CX56</f>
        <v>3</v>
      </c>
      <c r="DG56" s="7">
        <f t="shared" si="36"/>
        <v>6350</v>
      </c>
      <c r="DH56" s="32">
        <f>DF56+8</f>
        <v>11</v>
      </c>
      <c r="DI56" s="33">
        <f>DG56+3949</f>
        <v>10299</v>
      </c>
      <c r="DJ56" s="142"/>
      <c r="DK56" s="142"/>
      <c r="DL56" s="36"/>
    </row>
    <row r="57" spans="1:116" ht="31.5" hidden="1" x14ac:dyDescent="0.25">
      <c r="A57" s="4" t="s">
        <v>173</v>
      </c>
      <c r="B57" s="4"/>
      <c r="C57" s="5"/>
      <c r="D57" s="109"/>
      <c r="E57" s="5"/>
      <c r="F57" s="48"/>
      <c r="G57" s="5"/>
      <c r="H57" s="48"/>
      <c r="I57" s="5"/>
      <c r="J57" s="48"/>
      <c r="K57" s="5"/>
      <c r="L57" s="48"/>
      <c r="M57" s="5"/>
      <c r="N57" s="48"/>
      <c r="O57" s="5"/>
      <c r="P57" s="48"/>
      <c r="Q57" s="5"/>
      <c r="R57" s="48"/>
      <c r="S57" s="5"/>
      <c r="T57" s="65"/>
      <c r="U57" s="5"/>
      <c r="V57" s="41"/>
      <c r="W57" s="5"/>
      <c r="X57" s="41"/>
      <c r="Y57" s="5"/>
      <c r="Z57" s="48"/>
      <c r="AA57" s="5"/>
      <c r="AB57" s="48"/>
      <c r="AC57" s="5"/>
      <c r="AD57" s="74"/>
      <c r="AE57" s="5"/>
      <c r="AF57" s="48"/>
      <c r="AG57" s="5"/>
      <c r="AH57" s="48"/>
      <c r="AI57" s="5"/>
      <c r="AJ57" s="48"/>
      <c r="AK57" s="5"/>
      <c r="AL57" s="48"/>
      <c r="AM57" s="5"/>
      <c r="AN57" s="48"/>
      <c r="AO57" s="5"/>
      <c r="AP57" s="48"/>
      <c r="AQ57" s="5"/>
      <c r="AR57" s="48"/>
      <c r="AS57" s="5"/>
      <c r="AT57" s="48"/>
      <c r="AU57" s="5"/>
      <c r="AV57" s="65"/>
      <c r="AW57" s="5"/>
      <c r="AX57" s="48"/>
      <c r="AY57" s="5"/>
      <c r="AZ57" s="48"/>
      <c r="BA57" s="5"/>
      <c r="BB57" s="48"/>
      <c r="BC57" s="5"/>
      <c r="BD57" s="48"/>
      <c r="BE57" s="5"/>
      <c r="BF57" s="48"/>
      <c r="BG57" s="5"/>
      <c r="BH57" s="48"/>
      <c r="BI57" s="5"/>
      <c r="BJ57" s="48"/>
      <c r="BK57" s="5"/>
      <c r="BL57" s="48"/>
      <c r="BM57" s="5"/>
      <c r="BN57" s="65"/>
      <c r="BO57" s="5"/>
      <c r="BP57" s="128"/>
      <c r="BQ57" s="5"/>
      <c r="BR57" s="4"/>
      <c r="BS57" s="4"/>
      <c r="BT57" s="48"/>
      <c r="BU57" s="86"/>
      <c r="BV57" s="48"/>
      <c r="BW57" s="5"/>
      <c r="BX57" s="74"/>
      <c r="BY57" s="5"/>
      <c r="BZ57" s="48"/>
      <c r="CA57" s="5"/>
      <c r="CB57" s="48"/>
      <c r="CC57" s="5"/>
      <c r="CD57" s="4"/>
      <c r="CE57" s="5"/>
      <c r="CF57" s="48"/>
      <c r="CG57" s="5"/>
      <c r="CH57" s="48"/>
      <c r="CI57" s="5"/>
      <c r="CJ57" s="48"/>
      <c r="CK57" s="5"/>
      <c r="CL57" s="74"/>
      <c r="CM57" s="5"/>
      <c r="CN57" s="74"/>
      <c r="CO57" s="5"/>
      <c r="CP57" s="48"/>
      <c r="CQ57" s="5"/>
      <c r="CR57" s="48"/>
      <c r="CS57" s="5"/>
      <c r="CT57" s="48"/>
      <c r="CU57" s="5"/>
      <c r="CV57" s="112">
        <f t="shared" si="37"/>
        <v>0</v>
      </c>
      <c r="CW57" s="86">
        <f t="shared" si="38"/>
        <v>0</v>
      </c>
      <c r="CX57" s="112"/>
      <c r="CY57" s="86"/>
      <c r="CZ57" s="4"/>
      <c r="DA57" s="5"/>
      <c r="DB57" s="112"/>
      <c r="DC57" s="86"/>
      <c r="DD57" s="6"/>
      <c r="DE57" s="7"/>
      <c r="DF57" s="51">
        <f t="shared" si="39"/>
        <v>0</v>
      </c>
      <c r="DG57" s="7">
        <f t="shared" si="36"/>
        <v>0</v>
      </c>
      <c r="DH57" s="32"/>
      <c r="DI57" s="33"/>
      <c r="DJ57" s="142"/>
      <c r="DK57" s="142"/>
      <c r="DL57" s="36"/>
    </row>
    <row r="58" spans="1:116" ht="15" customHeight="1" x14ac:dyDescent="0.25">
      <c r="A58" s="4" t="s">
        <v>23</v>
      </c>
      <c r="B58" s="4"/>
      <c r="C58" s="5"/>
      <c r="D58" s="109"/>
      <c r="E58" s="5"/>
      <c r="F58" s="48"/>
      <c r="G58" s="5"/>
      <c r="H58" s="48"/>
      <c r="I58" s="5"/>
      <c r="J58" s="48"/>
      <c r="K58" s="5"/>
      <c r="L58" s="48"/>
      <c r="M58" s="5"/>
      <c r="N58" s="48"/>
      <c r="O58" s="5"/>
      <c r="P58" s="48"/>
      <c r="Q58" s="5"/>
      <c r="R58" s="48"/>
      <c r="S58" s="5"/>
      <c r="T58" s="65"/>
      <c r="U58" s="5"/>
      <c r="V58" s="41"/>
      <c r="W58" s="5"/>
      <c r="X58" s="41"/>
      <c r="Y58" s="5"/>
      <c r="Z58" s="48"/>
      <c r="AA58" s="5"/>
      <c r="AB58" s="48"/>
      <c r="AC58" s="5"/>
      <c r="AD58" s="74"/>
      <c r="AE58" s="5"/>
      <c r="AF58" s="48"/>
      <c r="AG58" s="5"/>
      <c r="AH58" s="48"/>
      <c r="AI58" s="5"/>
      <c r="AJ58" s="48"/>
      <c r="AK58" s="5"/>
      <c r="AL58" s="48"/>
      <c r="AM58" s="5"/>
      <c r="AN58" s="48"/>
      <c r="AO58" s="5"/>
      <c r="AP58" s="48"/>
      <c r="AQ58" s="5"/>
      <c r="AR58" s="48"/>
      <c r="AS58" s="5"/>
      <c r="AT58" s="48"/>
      <c r="AU58" s="5"/>
      <c r="AV58" s="65"/>
      <c r="AW58" s="5"/>
      <c r="AX58" s="48"/>
      <c r="AY58" s="5"/>
      <c r="AZ58" s="48"/>
      <c r="BA58" s="5"/>
      <c r="BB58" s="48"/>
      <c r="BC58" s="5"/>
      <c r="BD58" s="48"/>
      <c r="BE58" s="5"/>
      <c r="BF58" s="48"/>
      <c r="BG58" s="5"/>
      <c r="BH58" s="48"/>
      <c r="BI58" s="5"/>
      <c r="BJ58" s="48"/>
      <c r="BK58" s="5"/>
      <c r="BL58" s="48"/>
      <c r="BM58" s="5"/>
      <c r="BN58" s="65"/>
      <c r="BO58" s="5"/>
      <c r="BP58" s="128"/>
      <c r="BQ58" s="5"/>
      <c r="BR58" s="4"/>
      <c r="BS58" s="4"/>
      <c r="BT58" s="48"/>
      <c r="BU58" s="86"/>
      <c r="BV58" s="48"/>
      <c r="BW58" s="5"/>
      <c r="BX58" s="74">
        <v>1</v>
      </c>
      <c r="BY58" s="5">
        <v>2000</v>
      </c>
      <c r="BZ58" s="48">
        <v>1</v>
      </c>
      <c r="CA58" s="5">
        <v>2000</v>
      </c>
      <c r="CB58" s="48">
        <v>1</v>
      </c>
      <c r="CC58" s="5">
        <v>4500</v>
      </c>
      <c r="CD58" s="4"/>
      <c r="CE58" s="5"/>
      <c r="CF58" s="48"/>
      <c r="CG58" s="5"/>
      <c r="CH58" s="48"/>
      <c r="CI58" s="5"/>
      <c r="CJ58" s="48"/>
      <c r="CK58" s="5"/>
      <c r="CL58" s="74"/>
      <c r="CM58" s="5"/>
      <c r="CN58" s="74"/>
      <c r="CO58" s="5"/>
      <c r="CP58" s="48"/>
      <c r="CQ58" s="5"/>
      <c r="CR58" s="48"/>
      <c r="CS58" s="5"/>
      <c r="CT58" s="48"/>
      <c r="CU58" s="5"/>
      <c r="CV58" s="112">
        <f t="shared" si="37"/>
        <v>0</v>
      </c>
      <c r="CW58" s="86">
        <f t="shared" si="38"/>
        <v>0</v>
      </c>
      <c r="CX58" s="112"/>
      <c r="CY58" s="86"/>
      <c r="CZ58" s="4"/>
      <c r="DA58" s="5"/>
      <c r="DB58" s="112"/>
      <c r="DC58" s="86"/>
      <c r="DD58" s="6"/>
      <c r="DE58" s="7"/>
      <c r="DF58" s="51">
        <f t="shared" si="39"/>
        <v>3</v>
      </c>
      <c r="DG58" s="7">
        <f t="shared" si="36"/>
        <v>8500</v>
      </c>
      <c r="DH58" s="32">
        <f>DF58+19</f>
        <v>22</v>
      </c>
      <c r="DI58" s="33">
        <f>DG58+26010</f>
        <v>34510</v>
      </c>
      <c r="DJ58" s="142"/>
      <c r="DK58" s="142"/>
      <c r="DL58" s="36"/>
    </row>
    <row r="59" spans="1:116" ht="31.5" hidden="1" x14ac:dyDescent="0.25">
      <c r="A59" s="4" t="s">
        <v>190</v>
      </c>
      <c r="B59" s="4"/>
      <c r="C59" s="5"/>
      <c r="D59" s="109"/>
      <c r="E59" s="5"/>
      <c r="F59" s="48"/>
      <c r="G59" s="5"/>
      <c r="H59" s="48"/>
      <c r="I59" s="5"/>
      <c r="J59" s="48"/>
      <c r="K59" s="5"/>
      <c r="L59" s="48"/>
      <c r="M59" s="5"/>
      <c r="N59" s="48"/>
      <c r="O59" s="5"/>
      <c r="P59" s="48"/>
      <c r="Q59" s="5"/>
      <c r="R59" s="48"/>
      <c r="S59" s="5"/>
      <c r="T59" s="65"/>
      <c r="U59" s="5"/>
      <c r="V59" s="41"/>
      <c r="W59" s="5"/>
      <c r="X59" s="41"/>
      <c r="Y59" s="5"/>
      <c r="Z59" s="48"/>
      <c r="AA59" s="5"/>
      <c r="AB59" s="48"/>
      <c r="AC59" s="5"/>
      <c r="AD59" s="74"/>
      <c r="AE59" s="5"/>
      <c r="AF59" s="48"/>
      <c r="AG59" s="5"/>
      <c r="AH59" s="48"/>
      <c r="AI59" s="5"/>
      <c r="AJ59" s="48"/>
      <c r="AK59" s="5"/>
      <c r="AL59" s="48"/>
      <c r="AM59" s="5"/>
      <c r="AN59" s="48"/>
      <c r="AO59" s="5"/>
      <c r="AP59" s="48"/>
      <c r="AQ59" s="5"/>
      <c r="AR59" s="48"/>
      <c r="AS59" s="5"/>
      <c r="AT59" s="48"/>
      <c r="AU59" s="5"/>
      <c r="AV59" s="65"/>
      <c r="AW59" s="5"/>
      <c r="AX59" s="48"/>
      <c r="AY59" s="5"/>
      <c r="AZ59" s="48"/>
      <c r="BA59" s="5"/>
      <c r="BB59" s="48"/>
      <c r="BC59" s="5"/>
      <c r="BD59" s="48"/>
      <c r="BE59" s="5"/>
      <c r="BF59" s="48"/>
      <c r="BG59" s="5"/>
      <c r="BH59" s="48"/>
      <c r="BI59" s="5"/>
      <c r="BJ59" s="48"/>
      <c r="BK59" s="5"/>
      <c r="BL59" s="48"/>
      <c r="BM59" s="5"/>
      <c r="BN59" s="65"/>
      <c r="BO59" s="5"/>
      <c r="BP59" s="128"/>
      <c r="BQ59" s="5"/>
      <c r="BR59" s="4"/>
      <c r="BS59" s="4"/>
      <c r="BT59" s="48"/>
      <c r="BU59" s="86"/>
      <c r="BV59" s="48"/>
      <c r="BW59" s="5"/>
      <c r="BX59" s="74"/>
      <c r="BY59" s="5"/>
      <c r="BZ59" s="48"/>
      <c r="CA59" s="5"/>
      <c r="CB59" s="48"/>
      <c r="CC59" s="5"/>
      <c r="CD59" s="4"/>
      <c r="CE59" s="5"/>
      <c r="CF59" s="48"/>
      <c r="CG59" s="5"/>
      <c r="CH59" s="48"/>
      <c r="CI59" s="5"/>
      <c r="CJ59" s="48"/>
      <c r="CK59" s="5"/>
      <c r="CL59" s="74"/>
      <c r="CM59" s="5"/>
      <c r="CN59" s="74"/>
      <c r="CO59" s="5"/>
      <c r="CP59" s="48"/>
      <c r="CQ59" s="5"/>
      <c r="CR59" s="48"/>
      <c r="CS59" s="5"/>
      <c r="CT59" s="48"/>
      <c r="CU59" s="5"/>
      <c r="CV59" s="112">
        <f t="shared" si="37"/>
        <v>0</v>
      </c>
      <c r="CW59" s="86">
        <f t="shared" si="38"/>
        <v>0</v>
      </c>
      <c r="CX59" s="112"/>
      <c r="CY59" s="86"/>
      <c r="CZ59" s="4"/>
      <c r="DA59" s="5"/>
      <c r="DB59" s="112"/>
      <c r="DC59" s="86"/>
      <c r="DD59" s="6"/>
      <c r="DE59" s="7"/>
      <c r="DF59" s="51">
        <f t="shared" si="39"/>
        <v>0</v>
      </c>
      <c r="DG59" s="7">
        <f t="shared" si="36"/>
        <v>0</v>
      </c>
      <c r="DH59" s="32"/>
      <c r="DI59" s="33"/>
      <c r="DJ59" s="142"/>
      <c r="DK59" s="142"/>
      <c r="DL59" s="36"/>
    </row>
    <row r="60" spans="1:116" x14ac:dyDescent="0.25">
      <c r="A60" s="4" t="s">
        <v>24</v>
      </c>
      <c r="B60" s="4"/>
      <c r="C60" s="5"/>
      <c r="D60" s="109"/>
      <c r="E60" s="5"/>
      <c r="F60" s="48"/>
      <c r="G60" s="5"/>
      <c r="H60" s="48"/>
      <c r="I60" s="5"/>
      <c r="J60" s="48"/>
      <c r="K60" s="5"/>
      <c r="L60" s="48"/>
      <c r="M60" s="5"/>
      <c r="N60" s="48">
        <v>1</v>
      </c>
      <c r="O60" s="5">
        <v>3000</v>
      </c>
      <c r="P60" s="48"/>
      <c r="Q60" s="5"/>
      <c r="R60" s="48"/>
      <c r="S60" s="5"/>
      <c r="T60" s="65"/>
      <c r="U60" s="5"/>
      <c r="V60" s="41"/>
      <c r="W60" s="5"/>
      <c r="X60" s="41"/>
      <c r="Y60" s="5"/>
      <c r="Z60" s="48"/>
      <c r="AA60" s="5"/>
      <c r="AB60" s="48"/>
      <c r="AC60" s="5"/>
      <c r="AD60" s="74"/>
      <c r="AE60" s="5"/>
      <c r="AF60" s="48"/>
      <c r="AG60" s="5"/>
      <c r="AH60" s="48">
        <v>1</v>
      </c>
      <c r="AI60" s="5">
        <v>1700</v>
      </c>
      <c r="AJ60" s="48"/>
      <c r="AK60" s="5"/>
      <c r="AL60" s="48"/>
      <c r="AM60" s="5"/>
      <c r="AN60" s="48"/>
      <c r="AO60" s="5"/>
      <c r="AP60" s="48"/>
      <c r="AQ60" s="5"/>
      <c r="AR60" s="48"/>
      <c r="AS60" s="5"/>
      <c r="AT60" s="48"/>
      <c r="AU60" s="5"/>
      <c r="AV60" s="65"/>
      <c r="AW60" s="5"/>
      <c r="AX60" s="48"/>
      <c r="AY60" s="5"/>
      <c r="AZ60" s="48"/>
      <c r="BA60" s="5"/>
      <c r="BB60" s="48"/>
      <c r="BC60" s="5"/>
      <c r="BD60" s="48"/>
      <c r="BE60" s="5"/>
      <c r="BF60" s="48"/>
      <c r="BG60" s="5"/>
      <c r="BH60" s="48"/>
      <c r="BI60" s="5"/>
      <c r="BJ60" s="48"/>
      <c r="BK60" s="5"/>
      <c r="BL60" s="48"/>
      <c r="BM60" s="5"/>
      <c r="BN60" s="65"/>
      <c r="BO60" s="5"/>
      <c r="BP60" s="128"/>
      <c r="BQ60" s="5"/>
      <c r="BR60" s="4"/>
      <c r="BS60" s="4"/>
      <c r="BT60" s="48">
        <v>1</v>
      </c>
      <c r="BU60" s="86">
        <v>1000</v>
      </c>
      <c r="BV60" s="48"/>
      <c r="BW60" s="5"/>
      <c r="BX60" s="74"/>
      <c r="BY60" s="5"/>
      <c r="BZ60" s="48"/>
      <c r="CA60" s="5"/>
      <c r="CB60" s="48"/>
      <c r="CC60" s="5"/>
      <c r="CD60" s="4"/>
      <c r="CE60" s="5"/>
      <c r="CF60" s="48"/>
      <c r="CG60" s="5"/>
      <c r="CH60" s="48"/>
      <c r="CI60" s="5"/>
      <c r="CJ60" s="48">
        <v>1</v>
      </c>
      <c r="CK60" s="5">
        <v>900</v>
      </c>
      <c r="CL60" s="74"/>
      <c r="CM60" s="5"/>
      <c r="CN60" s="74"/>
      <c r="CO60" s="5"/>
      <c r="CP60" s="48"/>
      <c r="CQ60" s="5"/>
      <c r="CR60" s="48"/>
      <c r="CS60" s="5"/>
      <c r="CT60" s="48"/>
      <c r="CU60" s="5"/>
      <c r="CV60" s="112">
        <f t="shared" si="37"/>
        <v>0</v>
      </c>
      <c r="CW60" s="86">
        <f t="shared" si="38"/>
        <v>0</v>
      </c>
      <c r="CX60" s="112"/>
      <c r="CY60" s="86"/>
      <c r="CZ60" s="4"/>
      <c r="DA60" s="5"/>
      <c r="DB60" s="112"/>
      <c r="DC60" s="86"/>
      <c r="DD60" s="6"/>
      <c r="DE60" s="7"/>
      <c r="DF60" s="51">
        <f t="shared" si="39"/>
        <v>4</v>
      </c>
      <c r="DG60" s="7">
        <f t="shared" si="36"/>
        <v>6600</v>
      </c>
      <c r="DH60" s="32">
        <f>DF60+25</f>
        <v>29</v>
      </c>
      <c r="DI60" s="33">
        <f>DG60+22880</f>
        <v>29480</v>
      </c>
      <c r="DJ60" s="142"/>
      <c r="DK60" s="142"/>
      <c r="DL60" s="36"/>
    </row>
    <row r="61" spans="1:116" ht="15.75" hidden="1" customHeight="1" x14ac:dyDescent="0.25">
      <c r="A61" s="4" t="s">
        <v>203</v>
      </c>
      <c r="B61" s="4"/>
      <c r="C61" s="5"/>
      <c r="D61" s="109"/>
      <c r="E61" s="5"/>
      <c r="F61" s="48"/>
      <c r="G61" s="5"/>
      <c r="H61" s="48"/>
      <c r="I61" s="5"/>
      <c r="J61" s="48"/>
      <c r="K61" s="5"/>
      <c r="L61" s="48"/>
      <c r="M61" s="5"/>
      <c r="N61" s="48"/>
      <c r="O61" s="5"/>
      <c r="P61" s="48"/>
      <c r="Q61" s="5"/>
      <c r="R61" s="48"/>
      <c r="S61" s="5"/>
      <c r="T61" s="65"/>
      <c r="U61" s="5"/>
      <c r="V61" s="41"/>
      <c r="W61" s="5"/>
      <c r="X61" s="41"/>
      <c r="Y61" s="5"/>
      <c r="Z61" s="48"/>
      <c r="AA61" s="5"/>
      <c r="AB61" s="48"/>
      <c r="AC61" s="5"/>
      <c r="AD61" s="74"/>
      <c r="AE61" s="5"/>
      <c r="AF61" s="48"/>
      <c r="AG61" s="5"/>
      <c r="AH61" s="48"/>
      <c r="AI61" s="5"/>
      <c r="AJ61" s="48"/>
      <c r="AK61" s="5"/>
      <c r="AL61" s="48"/>
      <c r="AM61" s="5"/>
      <c r="AN61" s="48"/>
      <c r="AO61" s="5"/>
      <c r="AP61" s="48"/>
      <c r="AQ61" s="5"/>
      <c r="AR61" s="48"/>
      <c r="AS61" s="5"/>
      <c r="AT61" s="48"/>
      <c r="AU61" s="5"/>
      <c r="AV61" s="65"/>
      <c r="AW61" s="5"/>
      <c r="AX61" s="48"/>
      <c r="AY61" s="5"/>
      <c r="AZ61" s="48"/>
      <c r="BA61" s="5"/>
      <c r="BB61" s="48"/>
      <c r="BC61" s="5"/>
      <c r="BD61" s="48"/>
      <c r="BE61" s="5"/>
      <c r="BF61" s="48"/>
      <c r="BG61" s="5"/>
      <c r="BH61" s="48"/>
      <c r="BI61" s="5"/>
      <c r="BJ61" s="48"/>
      <c r="BK61" s="5"/>
      <c r="BL61" s="48"/>
      <c r="BM61" s="5"/>
      <c r="BN61" s="65"/>
      <c r="BO61" s="5"/>
      <c r="BP61" s="128"/>
      <c r="BQ61" s="5"/>
      <c r="BR61" s="4"/>
      <c r="BS61" s="4"/>
      <c r="BT61" s="48"/>
      <c r="BU61" s="86"/>
      <c r="BV61" s="48"/>
      <c r="BW61" s="5"/>
      <c r="BX61" s="74"/>
      <c r="BY61" s="5"/>
      <c r="BZ61" s="48"/>
      <c r="CA61" s="5"/>
      <c r="CB61" s="48"/>
      <c r="CC61" s="5"/>
      <c r="CD61" s="4"/>
      <c r="CE61" s="5"/>
      <c r="CF61" s="48"/>
      <c r="CG61" s="5"/>
      <c r="CH61" s="48"/>
      <c r="CI61" s="5"/>
      <c r="CJ61" s="48"/>
      <c r="CK61" s="5"/>
      <c r="CL61" s="74"/>
      <c r="CM61" s="5"/>
      <c r="CN61" s="74"/>
      <c r="CO61" s="5"/>
      <c r="CP61" s="48"/>
      <c r="CQ61" s="5"/>
      <c r="CR61" s="48"/>
      <c r="CS61" s="5"/>
      <c r="CT61" s="48"/>
      <c r="CU61" s="5"/>
      <c r="CV61" s="112">
        <f t="shared" si="37"/>
        <v>0</v>
      </c>
      <c r="CW61" s="86">
        <f t="shared" si="38"/>
        <v>0</v>
      </c>
      <c r="CX61" s="112"/>
      <c r="CY61" s="86"/>
      <c r="CZ61" s="4"/>
      <c r="DA61" s="5"/>
      <c r="DB61" s="112"/>
      <c r="DC61" s="86"/>
      <c r="DD61" s="6"/>
      <c r="DE61" s="7"/>
      <c r="DF61" s="51">
        <f t="shared" si="39"/>
        <v>0</v>
      </c>
      <c r="DG61" s="7">
        <f t="shared" si="36"/>
        <v>0</v>
      </c>
      <c r="DH61" s="32"/>
      <c r="DI61" s="33"/>
      <c r="DJ61" s="142"/>
      <c r="DK61" s="142"/>
      <c r="DL61" s="36"/>
    </row>
    <row r="62" spans="1:116" ht="13.5" customHeight="1" x14ac:dyDescent="0.25">
      <c r="A62" s="4" t="s">
        <v>25</v>
      </c>
      <c r="B62" s="4"/>
      <c r="C62" s="5"/>
      <c r="D62" s="109"/>
      <c r="E62" s="5"/>
      <c r="F62" s="48"/>
      <c r="G62" s="5"/>
      <c r="H62" s="48"/>
      <c r="I62" s="5"/>
      <c r="J62" s="48"/>
      <c r="K62" s="5"/>
      <c r="L62" s="48"/>
      <c r="M62" s="5"/>
      <c r="N62" s="48"/>
      <c r="O62" s="5"/>
      <c r="P62" s="48"/>
      <c r="Q62" s="5"/>
      <c r="R62" s="48">
        <v>1</v>
      </c>
      <c r="S62" s="5">
        <v>2500</v>
      </c>
      <c r="T62" s="65"/>
      <c r="U62" s="5"/>
      <c r="V62" s="41"/>
      <c r="W62" s="5"/>
      <c r="X62" s="41"/>
      <c r="Y62" s="5"/>
      <c r="Z62" s="48"/>
      <c r="AA62" s="5"/>
      <c r="AB62" s="48"/>
      <c r="AC62" s="5"/>
      <c r="AD62" s="74"/>
      <c r="AE62" s="5"/>
      <c r="AF62" s="48"/>
      <c r="AG62" s="5"/>
      <c r="AH62" s="48"/>
      <c r="AI62" s="5"/>
      <c r="AJ62" s="48"/>
      <c r="AK62" s="5"/>
      <c r="AL62" s="48"/>
      <c r="AM62" s="5"/>
      <c r="AN62" s="48"/>
      <c r="AO62" s="5"/>
      <c r="AP62" s="48"/>
      <c r="AQ62" s="5"/>
      <c r="AR62" s="48"/>
      <c r="AS62" s="5"/>
      <c r="AT62" s="48"/>
      <c r="AU62" s="5"/>
      <c r="AV62" s="65"/>
      <c r="AW62" s="5"/>
      <c r="AX62" s="48"/>
      <c r="AY62" s="5"/>
      <c r="AZ62" s="48"/>
      <c r="BA62" s="5"/>
      <c r="BB62" s="48">
        <v>1</v>
      </c>
      <c r="BC62" s="5">
        <v>2000</v>
      </c>
      <c r="BD62" s="48"/>
      <c r="BE62" s="5"/>
      <c r="BF62" s="48"/>
      <c r="BG62" s="5"/>
      <c r="BH62" s="48"/>
      <c r="BI62" s="5"/>
      <c r="BJ62" s="48"/>
      <c r="BK62" s="5"/>
      <c r="BL62" s="48"/>
      <c r="BM62" s="5"/>
      <c r="BN62" s="65"/>
      <c r="BO62" s="5"/>
      <c r="BP62" s="128"/>
      <c r="BQ62" s="5"/>
      <c r="BR62" s="4"/>
      <c r="BS62" s="4"/>
      <c r="BT62" s="48"/>
      <c r="BU62" s="86"/>
      <c r="BV62" s="48"/>
      <c r="BW62" s="5"/>
      <c r="BX62" s="74"/>
      <c r="BY62" s="5"/>
      <c r="BZ62" s="48"/>
      <c r="CA62" s="5"/>
      <c r="CB62" s="48"/>
      <c r="CC62" s="5"/>
      <c r="CD62" s="4"/>
      <c r="CE62" s="5"/>
      <c r="CF62" s="48"/>
      <c r="CG62" s="5"/>
      <c r="CH62" s="48"/>
      <c r="CI62" s="5"/>
      <c r="CJ62" s="48"/>
      <c r="CK62" s="5"/>
      <c r="CL62" s="74"/>
      <c r="CM62" s="5"/>
      <c r="CN62" s="74"/>
      <c r="CO62" s="5"/>
      <c r="CP62" s="48"/>
      <c r="CQ62" s="5"/>
      <c r="CR62" s="48"/>
      <c r="CS62" s="5"/>
      <c r="CT62" s="48"/>
      <c r="CU62" s="5"/>
      <c r="CV62" s="112">
        <f t="shared" si="37"/>
        <v>0</v>
      </c>
      <c r="CW62" s="86">
        <f t="shared" si="38"/>
        <v>0</v>
      </c>
      <c r="CX62" s="112"/>
      <c r="CY62" s="86"/>
      <c r="CZ62" s="4"/>
      <c r="DA62" s="5"/>
      <c r="DB62" s="112"/>
      <c r="DC62" s="86"/>
      <c r="DD62" s="6"/>
      <c r="DE62" s="7"/>
      <c r="DF62" s="51">
        <f>B62+CZ62+DD62+D62+F62+H62+J62+L62+N62+P62+R62+T62+V62+X62+Z62+AB62+AD62+AF62+AH62+AJ62+AL62+AN62+AP62+AR62+AT62+AV62+AX62+AZ62+BB62+BD62+BF62+BH62+BJ62+BL62+BN62+BP62+BR62+BT62+BV62+BX62+BZ62+CB62+CD62+CF62+CH62+CJ62+CL62+CN62+CP62+CR62+CT62+CX62</f>
        <v>2</v>
      </c>
      <c r="DG62" s="7">
        <f>C62+DA62+DE62+E62+G62+I62+K62+M62+O62+Q62+S62+U62+W62+Y62+AA62+AC62+AE62+AG62+AI62+AK62+AM62+AO62+AQ62+AS62+AU62+AW62+AY62+BA62+BC62+BE62+BG62+BI62+BK62+BM62+BO62+BQ62+BS62+BU62+BW62+BY62+CA62+CC62+CE62+CG62+CI62+CK62+CM62+CO62+CQ62+CS62+CU62+CY62</f>
        <v>4500</v>
      </c>
      <c r="DH62" s="32">
        <f>DF62+28</f>
        <v>30</v>
      </c>
      <c r="DI62" s="33">
        <f>DG62+41305</f>
        <v>45805</v>
      </c>
      <c r="DJ62" s="142"/>
      <c r="DK62" s="142"/>
      <c r="DL62" s="36"/>
    </row>
    <row r="63" spans="1:116" ht="17.25" hidden="1" customHeight="1" x14ac:dyDescent="0.25">
      <c r="A63" s="4" t="s">
        <v>156</v>
      </c>
      <c r="B63" s="4"/>
      <c r="C63" s="5"/>
      <c r="D63" s="109"/>
      <c r="E63" s="5"/>
      <c r="F63" s="48"/>
      <c r="G63" s="5"/>
      <c r="H63" s="48"/>
      <c r="I63" s="5"/>
      <c r="J63" s="48"/>
      <c r="K63" s="5"/>
      <c r="L63" s="48"/>
      <c r="M63" s="5"/>
      <c r="N63" s="48"/>
      <c r="O63" s="5"/>
      <c r="P63" s="48"/>
      <c r="Q63" s="5"/>
      <c r="R63" s="48"/>
      <c r="S63" s="5"/>
      <c r="T63" s="65"/>
      <c r="U63" s="5"/>
      <c r="V63" s="41"/>
      <c r="W63" s="5"/>
      <c r="X63" s="41"/>
      <c r="Y63" s="5"/>
      <c r="Z63" s="48"/>
      <c r="AA63" s="5"/>
      <c r="AB63" s="48"/>
      <c r="AC63" s="5"/>
      <c r="AD63" s="74"/>
      <c r="AE63" s="5"/>
      <c r="AF63" s="48"/>
      <c r="AG63" s="5"/>
      <c r="AH63" s="48"/>
      <c r="AI63" s="5"/>
      <c r="AJ63" s="48"/>
      <c r="AK63" s="5"/>
      <c r="AL63" s="48"/>
      <c r="AM63" s="5"/>
      <c r="AN63" s="48"/>
      <c r="AO63" s="5"/>
      <c r="AP63" s="48"/>
      <c r="AQ63" s="5"/>
      <c r="AR63" s="48"/>
      <c r="AS63" s="5"/>
      <c r="AT63" s="48"/>
      <c r="AU63" s="5"/>
      <c r="AV63" s="65"/>
      <c r="AW63" s="5"/>
      <c r="AX63" s="48"/>
      <c r="AY63" s="5"/>
      <c r="AZ63" s="48"/>
      <c r="BA63" s="5"/>
      <c r="BB63" s="48"/>
      <c r="BC63" s="5"/>
      <c r="BD63" s="48"/>
      <c r="BE63" s="5"/>
      <c r="BF63" s="48"/>
      <c r="BG63" s="5"/>
      <c r="BH63" s="48"/>
      <c r="BI63" s="5"/>
      <c r="BJ63" s="48"/>
      <c r="BK63" s="5"/>
      <c r="BL63" s="48"/>
      <c r="BM63" s="5"/>
      <c r="BN63" s="65"/>
      <c r="BO63" s="5"/>
      <c r="BP63" s="128"/>
      <c r="BQ63" s="5"/>
      <c r="BR63" s="4"/>
      <c r="BS63" s="4"/>
      <c r="BT63" s="48"/>
      <c r="BU63" s="86"/>
      <c r="BV63" s="48"/>
      <c r="BW63" s="5"/>
      <c r="BX63" s="74"/>
      <c r="BY63" s="5"/>
      <c r="BZ63" s="48"/>
      <c r="CA63" s="5"/>
      <c r="CB63" s="48"/>
      <c r="CC63" s="5"/>
      <c r="CD63" s="4"/>
      <c r="CE63" s="5"/>
      <c r="CF63" s="48"/>
      <c r="CG63" s="5"/>
      <c r="CH63" s="48"/>
      <c r="CI63" s="5"/>
      <c r="CJ63" s="48"/>
      <c r="CK63" s="5"/>
      <c r="CL63" s="74"/>
      <c r="CM63" s="5"/>
      <c r="CN63" s="74"/>
      <c r="CO63" s="5"/>
      <c r="CP63" s="48"/>
      <c r="CQ63" s="5"/>
      <c r="CR63" s="48"/>
      <c r="CS63" s="5"/>
      <c r="CT63" s="48"/>
      <c r="CU63" s="5"/>
      <c r="CV63" s="112">
        <f t="shared" si="37"/>
        <v>0</v>
      </c>
      <c r="CW63" s="86">
        <f t="shared" si="38"/>
        <v>0</v>
      </c>
      <c r="CX63" s="112"/>
      <c r="CY63" s="86"/>
      <c r="CZ63" s="4"/>
      <c r="DA63" s="5"/>
      <c r="DB63" s="112"/>
      <c r="DC63" s="86"/>
      <c r="DD63" s="6"/>
      <c r="DE63" s="7"/>
      <c r="DF63" s="51">
        <f>B63+CZ63+DD63+D63+F63+H63+J63+L63+N63+P63+R63+T63+V63+X63+Z63+AB63+AD63+AF63+AH63+AJ63+AL63+AN63+AP63+AR63+AT63+AV63+AX63+AZ63+BB63+BD63+BF63+BH63+BJ63+BL63+BN63+BP63+BR63+BT63+BV63+BX63+BZ63+CB63+CD63+CF63+CH63+CJ63+CL63+CN63+CP63+CR63+CT63+CX63</f>
        <v>0</v>
      </c>
      <c r="DG63" s="7">
        <f>C63+DA63+DE63+E63+G63+I63+K63+M63+O63+Q63+S63+U63+W63+Y63+AA63+AC63+AE63+AG63+AI63+AK63+AM63+AO63+AQ63+AS63+AU63+AW63+AY63+BA63+BC63+BE63+BG63+BI63+BK63+BM63+BO63+BQ63+BS63+BU63+BW63+BY63+CA63+CC63+CE63+CG63+CI63+CK63+CM63+CO63+CQ63+CS63+CU63+CY63</f>
        <v>0</v>
      </c>
      <c r="DH63" s="32"/>
      <c r="DI63" s="33"/>
      <c r="DJ63" s="142"/>
      <c r="DK63" s="142"/>
      <c r="DL63" s="36"/>
    </row>
    <row r="64" spans="1:116" x14ac:dyDescent="0.25">
      <c r="A64" s="4" t="s">
        <v>26</v>
      </c>
      <c r="B64" s="4"/>
      <c r="C64" s="5"/>
      <c r="D64" s="109"/>
      <c r="E64" s="5"/>
      <c r="F64" s="48"/>
      <c r="G64" s="5"/>
      <c r="H64" s="48"/>
      <c r="I64" s="5"/>
      <c r="J64" s="48"/>
      <c r="K64" s="5"/>
      <c r="L64" s="48"/>
      <c r="M64" s="5"/>
      <c r="N64" s="48"/>
      <c r="O64" s="5"/>
      <c r="P64" s="48"/>
      <c r="Q64" s="5"/>
      <c r="R64" s="48"/>
      <c r="S64" s="5"/>
      <c r="T64" s="65"/>
      <c r="U64" s="5"/>
      <c r="V64" s="41"/>
      <c r="W64" s="5"/>
      <c r="X64" s="41"/>
      <c r="Y64" s="5"/>
      <c r="Z64" s="48">
        <v>1</v>
      </c>
      <c r="AA64" s="5">
        <v>5000</v>
      </c>
      <c r="AB64" s="48"/>
      <c r="AC64" s="5"/>
      <c r="AD64" s="74"/>
      <c r="AE64" s="5"/>
      <c r="AF64" s="48"/>
      <c r="AG64" s="5"/>
      <c r="AH64" s="48"/>
      <c r="AI64" s="5"/>
      <c r="AJ64" s="48"/>
      <c r="AK64" s="5"/>
      <c r="AL64" s="48"/>
      <c r="AM64" s="5"/>
      <c r="AN64" s="48"/>
      <c r="AO64" s="5"/>
      <c r="AP64" s="48"/>
      <c r="AQ64" s="5"/>
      <c r="AR64" s="48"/>
      <c r="AS64" s="5"/>
      <c r="AT64" s="48"/>
      <c r="AU64" s="5"/>
      <c r="AV64" s="65"/>
      <c r="AW64" s="5"/>
      <c r="AX64" s="48"/>
      <c r="AY64" s="5"/>
      <c r="AZ64" s="48"/>
      <c r="BA64" s="5"/>
      <c r="BB64" s="48"/>
      <c r="BC64" s="5"/>
      <c r="BD64" s="48"/>
      <c r="BE64" s="5"/>
      <c r="BF64" s="48"/>
      <c r="BG64" s="5"/>
      <c r="BH64" s="48"/>
      <c r="BI64" s="5"/>
      <c r="BJ64" s="48"/>
      <c r="BK64" s="5"/>
      <c r="BL64" s="48"/>
      <c r="BM64" s="5"/>
      <c r="BN64" s="65"/>
      <c r="BO64" s="5"/>
      <c r="BP64" s="128"/>
      <c r="BQ64" s="5"/>
      <c r="BR64" s="4"/>
      <c r="BS64" s="4"/>
      <c r="BT64" s="48"/>
      <c r="BU64" s="86"/>
      <c r="BV64" s="48"/>
      <c r="BW64" s="5"/>
      <c r="BX64" s="74"/>
      <c r="BY64" s="5"/>
      <c r="BZ64" s="48"/>
      <c r="CA64" s="5"/>
      <c r="CB64" s="48"/>
      <c r="CC64" s="5"/>
      <c r="CD64" s="4"/>
      <c r="CE64" s="5"/>
      <c r="CF64" s="48"/>
      <c r="CG64" s="5"/>
      <c r="CH64" s="48"/>
      <c r="CI64" s="5"/>
      <c r="CJ64" s="48"/>
      <c r="CK64" s="5"/>
      <c r="CL64" s="74"/>
      <c r="CM64" s="5"/>
      <c r="CN64" s="74"/>
      <c r="CO64" s="5"/>
      <c r="CP64" s="48"/>
      <c r="CQ64" s="5"/>
      <c r="CR64" s="48"/>
      <c r="CS64" s="5"/>
      <c r="CT64" s="48"/>
      <c r="CU64" s="5"/>
      <c r="CV64" s="112">
        <f t="shared" si="37"/>
        <v>0</v>
      </c>
      <c r="CW64" s="86">
        <f t="shared" si="38"/>
        <v>0</v>
      </c>
      <c r="CX64" s="112"/>
      <c r="CY64" s="86"/>
      <c r="CZ64" s="4"/>
      <c r="DA64" s="5"/>
      <c r="DB64" s="112"/>
      <c r="DC64" s="86"/>
      <c r="DD64" s="6"/>
      <c r="DE64" s="7"/>
      <c r="DF64" s="51">
        <f t="shared" si="39"/>
        <v>1</v>
      </c>
      <c r="DG64" s="7">
        <f t="shared" si="36"/>
        <v>5000</v>
      </c>
      <c r="DH64" s="32">
        <f>DF64+11</f>
        <v>12</v>
      </c>
      <c r="DI64" s="33">
        <f>DG64+14050</f>
        <v>19050</v>
      </c>
      <c r="DJ64" s="142"/>
      <c r="DK64" s="142"/>
      <c r="DL64" s="36"/>
    </row>
    <row r="65" spans="1:116" ht="15.75" hidden="1" customHeight="1" x14ac:dyDescent="0.25">
      <c r="A65" s="4" t="s">
        <v>109</v>
      </c>
      <c r="B65" s="4"/>
      <c r="C65" s="5"/>
      <c r="D65" s="109"/>
      <c r="E65" s="5"/>
      <c r="F65" s="48"/>
      <c r="G65" s="5"/>
      <c r="H65" s="48"/>
      <c r="I65" s="5"/>
      <c r="J65" s="48"/>
      <c r="K65" s="5"/>
      <c r="L65" s="48"/>
      <c r="M65" s="5"/>
      <c r="N65" s="48"/>
      <c r="O65" s="5"/>
      <c r="P65" s="48"/>
      <c r="Q65" s="5"/>
      <c r="R65" s="48"/>
      <c r="S65" s="5"/>
      <c r="T65" s="65"/>
      <c r="U65" s="5"/>
      <c r="V65" s="41"/>
      <c r="W65" s="5"/>
      <c r="X65" s="41"/>
      <c r="Y65" s="5"/>
      <c r="Z65" s="48"/>
      <c r="AA65" s="5"/>
      <c r="AB65" s="48"/>
      <c r="AC65" s="5"/>
      <c r="AD65" s="74"/>
      <c r="AE65" s="5"/>
      <c r="AF65" s="48"/>
      <c r="AG65" s="5"/>
      <c r="AH65" s="48"/>
      <c r="AI65" s="5"/>
      <c r="AJ65" s="48"/>
      <c r="AK65" s="5"/>
      <c r="AL65" s="48"/>
      <c r="AM65" s="5"/>
      <c r="AN65" s="48"/>
      <c r="AO65" s="5"/>
      <c r="AP65" s="48"/>
      <c r="AQ65" s="5"/>
      <c r="AR65" s="48"/>
      <c r="AS65" s="5"/>
      <c r="AT65" s="48"/>
      <c r="AU65" s="5"/>
      <c r="AV65" s="65"/>
      <c r="AW65" s="5"/>
      <c r="AX65" s="48"/>
      <c r="AY65" s="5"/>
      <c r="AZ65" s="48"/>
      <c r="BA65" s="5"/>
      <c r="BB65" s="48"/>
      <c r="BC65" s="5"/>
      <c r="BD65" s="48"/>
      <c r="BE65" s="5"/>
      <c r="BF65" s="48"/>
      <c r="BG65" s="5"/>
      <c r="BH65" s="48"/>
      <c r="BI65" s="5"/>
      <c r="BJ65" s="48"/>
      <c r="BK65" s="5"/>
      <c r="BL65" s="48"/>
      <c r="BM65" s="5"/>
      <c r="BN65" s="65"/>
      <c r="BO65" s="5"/>
      <c r="BP65" s="128"/>
      <c r="BQ65" s="5"/>
      <c r="BR65" s="4"/>
      <c r="BS65" s="4"/>
      <c r="BT65" s="48"/>
      <c r="BU65" s="86"/>
      <c r="BV65" s="48"/>
      <c r="BW65" s="5"/>
      <c r="BX65" s="74"/>
      <c r="BY65" s="5"/>
      <c r="BZ65" s="48"/>
      <c r="CA65" s="5"/>
      <c r="CB65" s="48"/>
      <c r="CC65" s="5"/>
      <c r="CD65" s="4"/>
      <c r="CE65" s="5"/>
      <c r="CF65" s="48"/>
      <c r="CG65" s="5"/>
      <c r="CH65" s="48"/>
      <c r="CI65" s="5"/>
      <c r="CJ65" s="48"/>
      <c r="CK65" s="5"/>
      <c r="CL65" s="74"/>
      <c r="CM65" s="5"/>
      <c r="CN65" s="74"/>
      <c r="CO65" s="5"/>
      <c r="CP65" s="48"/>
      <c r="CQ65" s="5"/>
      <c r="CR65" s="48"/>
      <c r="CS65" s="5"/>
      <c r="CT65" s="48"/>
      <c r="CU65" s="5"/>
      <c r="CV65" s="112">
        <f t="shared" si="37"/>
        <v>0</v>
      </c>
      <c r="CW65" s="86">
        <f t="shared" si="38"/>
        <v>0</v>
      </c>
      <c r="CX65" s="112"/>
      <c r="CY65" s="86"/>
      <c r="CZ65" s="4"/>
      <c r="DA65" s="5"/>
      <c r="DB65" s="112"/>
      <c r="DC65" s="86"/>
      <c r="DD65" s="6"/>
      <c r="DE65" s="7"/>
      <c r="DF65" s="51">
        <f t="shared" si="39"/>
        <v>0</v>
      </c>
      <c r="DG65" s="7">
        <f t="shared" si="36"/>
        <v>0</v>
      </c>
      <c r="DH65" s="32"/>
      <c r="DI65" s="33"/>
      <c r="DJ65" s="142"/>
      <c r="DK65" s="142"/>
      <c r="DL65" s="36"/>
    </row>
    <row r="66" spans="1:116" ht="13.5" customHeight="1" x14ac:dyDescent="0.25">
      <c r="A66" s="4" t="s">
        <v>27</v>
      </c>
      <c r="B66" s="4"/>
      <c r="C66" s="5"/>
      <c r="D66" s="109"/>
      <c r="E66" s="5"/>
      <c r="F66" s="48"/>
      <c r="G66" s="5"/>
      <c r="H66" s="48"/>
      <c r="I66" s="5"/>
      <c r="J66" s="48"/>
      <c r="K66" s="5"/>
      <c r="L66" s="48"/>
      <c r="M66" s="5"/>
      <c r="N66" s="48"/>
      <c r="O66" s="5"/>
      <c r="P66" s="48"/>
      <c r="Q66" s="5"/>
      <c r="R66" s="48"/>
      <c r="S66" s="5"/>
      <c r="T66" s="65"/>
      <c r="U66" s="5"/>
      <c r="V66" s="41"/>
      <c r="W66" s="5"/>
      <c r="X66" s="41"/>
      <c r="Y66" s="5"/>
      <c r="Z66" s="48"/>
      <c r="AA66" s="5"/>
      <c r="AB66" s="48"/>
      <c r="AC66" s="5"/>
      <c r="AD66" s="74"/>
      <c r="AE66" s="5"/>
      <c r="AF66" s="48"/>
      <c r="AG66" s="5"/>
      <c r="AH66" s="48"/>
      <c r="AI66" s="5"/>
      <c r="AJ66" s="48">
        <v>1</v>
      </c>
      <c r="AK66" s="5">
        <v>1000</v>
      </c>
      <c r="AL66" s="48">
        <v>1</v>
      </c>
      <c r="AM66" s="5">
        <v>300</v>
      </c>
      <c r="AN66" s="48"/>
      <c r="AO66" s="5"/>
      <c r="AP66" s="48"/>
      <c r="AQ66" s="5"/>
      <c r="AR66" s="48"/>
      <c r="AS66" s="5"/>
      <c r="AT66" s="48"/>
      <c r="AU66" s="5"/>
      <c r="AV66" s="65"/>
      <c r="AW66" s="5"/>
      <c r="AX66" s="48"/>
      <c r="AY66" s="5"/>
      <c r="AZ66" s="48"/>
      <c r="BA66" s="5"/>
      <c r="BB66" s="48">
        <v>2</v>
      </c>
      <c r="BC66" s="5">
        <v>1400</v>
      </c>
      <c r="BD66" s="48">
        <v>1</v>
      </c>
      <c r="BE66" s="5">
        <v>700</v>
      </c>
      <c r="BF66" s="48"/>
      <c r="BG66" s="5"/>
      <c r="BH66" s="48"/>
      <c r="BI66" s="5"/>
      <c r="BJ66" s="48"/>
      <c r="BK66" s="5"/>
      <c r="BL66" s="48"/>
      <c r="BM66" s="5"/>
      <c r="BN66" s="65"/>
      <c r="BO66" s="5"/>
      <c r="BP66" s="128"/>
      <c r="BQ66" s="5"/>
      <c r="BR66" s="4"/>
      <c r="BS66" s="4"/>
      <c r="BT66" s="48"/>
      <c r="BU66" s="86"/>
      <c r="BV66" s="48"/>
      <c r="BW66" s="5"/>
      <c r="BX66" s="74"/>
      <c r="BY66" s="5"/>
      <c r="BZ66" s="48"/>
      <c r="CA66" s="5"/>
      <c r="CB66" s="48"/>
      <c r="CC66" s="5"/>
      <c r="CD66" s="4"/>
      <c r="CE66" s="5"/>
      <c r="CF66" s="48"/>
      <c r="CG66" s="5"/>
      <c r="CH66" s="48"/>
      <c r="CI66" s="5"/>
      <c r="CJ66" s="48"/>
      <c r="CK66" s="5"/>
      <c r="CL66" s="74"/>
      <c r="CM66" s="5"/>
      <c r="CN66" s="74"/>
      <c r="CO66" s="5"/>
      <c r="CP66" s="48"/>
      <c r="CQ66" s="5"/>
      <c r="CR66" s="48"/>
      <c r="CS66" s="5"/>
      <c r="CT66" s="48"/>
      <c r="CU66" s="5"/>
      <c r="CV66" s="112">
        <f t="shared" si="37"/>
        <v>0</v>
      </c>
      <c r="CW66" s="86">
        <f t="shared" si="38"/>
        <v>0</v>
      </c>
      <c r="CX66" s="112"/>
      <c r="CY66" s="86"/>
      <c r="CZ66" s="4"/>
      <c r="DA66" s="5"/>
      <c r="DB66" s="112"/>
      <c r="DC66" s="86"/>
      <c r="DD66" s="6"/>
      <c r="DE66" s="7"/>
      <c r="DF66" s="51">
        <f t="shared" si="39"/>
        <v>5</v>
      </c>
      <c r="DG66" s="7">
        <f t="shared" si="36"/>
        <v>3400</v>
      </c>
      <c r="DH66" s="32">
        <f>DF66+33</f>
        <v>38</v>
      </c>
      <c r="DI66" s="33">
        <f>DG66+24090</f>
        <v>27490</v>
      </c>
      <c r="DJ66" s="142"/>
      <c r="DK66" s="142"/>
      <c r="DL66" s="36"/>
    </row>
    <row r="67" spans="1:116" ht="47.25" hidden="1" x14ac:dyDescent="0.25">
      <c r="A67" s="4" t="s">
        <v>159</v>
      </c>
      <c r="B67" s="4"/>
      <c r="C67" s="5"/>
      <c r="D67" s="109"/>
      <c r="E67" s="5"/>
      <c r="F67" s="48"/>
      <c r="G67" s="5"/>
      <c r="H67" s="48"/>
      <c r="I67" s="5"/>
      <c r="J67" s="48"/>
      <c r="K67" s="5"/>
      <c r="L67" s="48"/>
      <c r="M67" s="5"/>
      <c r="N67" s="48"/>
      <c r="O67" s="5"/>
      <c r="P67" s="48"/>
      <c r="Q67" s="5"/>
      <c r="R67" s="48"/>
      <c r="S67" s="5"/>
      <c r="T67" s="65"/>
      <c r="U67" s="5"/>
      <c r="V67" s="41"/>
      <c r="W67" s="5"/>
      <c r="X67" s="41"/>
      <c r="Y67" s="5"/>
      <c r="Z67" s="48"/>
      <c r="AA67" s="5"/>
      <c r="AB67" s="48"/>
      <c r="AC67" s="5"/>
      <c r="AD67" s="74"/>
      <c r="AE67" s="5"/>
      <c r="AF67" s="48"/>
      <c r="AG67" s="5"/>
      <c r="AH67" s="48"/>
      <c r="AI67" s="5"/>
      <c r="AJ67" s="48"/>
      <c r="AK67" s="5"/>
      <c r="AL67" s="48"/>
      <c r="AM67" s="5"/>
      <c r="AN67" s="48"/>
      <c r="AO67" s="5"/>
      <c r="AP67" s="48"/>
      <c r="AQ67" s="5"/>
      <c r="AR67" s="48"/>
      <c r="AS67" s="5"/>
      <c r="AT67" s="48"/>
      <c r="AU67" s="5"/>
      <c r="AV67" s="65"/>
      <c r="AW67" s="5"/>
      <c r="AX67" s="48"/>
      <c r="AY67" s="5"/>
      <c r="AZ67" s="48"/>
      <c r="BA67" s="5"/>
      <c r="BB67" s="48"/>
      <c r="BC67" s="5"/>
      <c r="BD67" s="48"/>
      <c r="BE67" s="5"/>
      <c r="BF67" s="48"/>
      <c r="BG67" s="5"/>
      <c r="BH67" s="48"/>
      <c r="BI67" s="5"/>
      <c r="BJ67" s="48"/>
      <c r="BK67" s="5"/>
      <c r="BL67" s="48"/>
      <c r="BM67" s="5"/>
      <c r="BN67" s="65"/>
      <c r="BO67" s="5"/>
      <c r="BP67" s="128"/>
      <c r="BQ67" s="5"/>
      <c r="BR67" s="4"/>
      <c r="BS67" s="4"/>
      <c r="BT67" s="48"/>
      <c r="BU67" s="86"/>
      <c r="BV67" s="48"/>
      <c r="BW67" s="5"/>
      <c r="BX67" s="74"/>
      <c r="BY67" s="5"/>
      <c r="BZ67" s="48"/>
      <c r="CA67" s="5"/>
      <c r="CB67" s="48"/>
      <c r="CC67" s="5"/>
      <c r="CD67" s="4"/>
      <c r="CE67" s="5"/>
      <c r="CF67" s="48"/>
      <c r="CG67" s="5"/>
      <c r="CH67" s="48"/>
      <c r="CI67" s="5"/>
      <c r="CJ67" s="48"/>
      <c r="CK67" s="5"/>
      <c r="CL67" s="74"/>
      <c r="CM67" s="5"/>
      <c r="CN67" s="74"/>
      <c r="CO67" s="5"/>
      <c r="CP67" s="48"/>
      <c r="CQ67" s="5"/>
      <c r="CR67" s="48"/>
      <c r="CS67" s="5"/>
      <c r="CT67" s="48"/>
      <c r="CU67" s="5"/>
      <c r="CV67" s="112">
        <f t="shared" si="37"/>
        <v>0</v>
      </c>
      <c r="CW67" s="86">
        <f t="shared" si="38"/>
        <v>0</v>
      </c>
      <c r="CX67" s="112"/>
      <c r="CY67" s="86"/>
      <c r="CZ67" s="4"/>
      <c r="DA67" s="5"/>
      <c r="DB67" s="112"/>
      <c r="DC67" s="86"/>
      <c r="DD67" s="6"/>
      <c r="DE67" s="7"/>
      <c r="DF67" s="51"/>
      <c r="DG67" s="7"/>
      <c r="DH67" s="32"/>
      <c r="DI67" s="33"/>
      <c r="DJ67" s="142"/>
      <c r="DK67" s="142"/>
      <c r="DL67" s="36"/>
    </row>
    <row r="68" spans="1:116" x14ac:dyDescent="0.25">
      <c r="A68" s="4" t="s">
        <v>28</v>
      </c>
      <c r="B68" s="4"/>
      <c r="C68" s="5"/>
      <c r="D68" s="109"/>
      <c r="E68" s="5"/>
      <c r="F68" s="48"/>
      <c r="G68" s="5"/>
      <c r="H68" s="48"/>
      <c r="I68" s="5"/>
      <c r="J68" s="48"/>
      <c r="K68" s="5"/>
      <c r="L68" s="48"/>
      <c r="M68" s="5"/>
      <c r="N68" s="48"/>
      <c r="O68" s="5"/>
      <c r="P68" s="48"/>
      <c r="Q68" s="5"/>
      <c r="R68" s="48"/>
      <c r="S68" s="5"/>
      <c r="T68" s="65"/>
      <c r="U68" s="5"/>
      <c r="V68" s="41">
        <v>1</v>
      </c>
      <c r="W68" s="5">
        <v>2000</v>
      </c>
      <c r="X68" s="41"/>
      <c r="Y68" s="5"/>
      <c r="Z68" s="48">
        <v>1</v>
      </c>
      <c r="AA68" s="5">
        <v>5000</v>
      </c>
      <c r="AB68" s="48"/>
      <c r="AC68" s="5"/>
      <c r="AD68" s="74"/>
      <c r="AE68" s="5"/>
      <c r="AF68" s="48"/>
      <c r="AG68" s="5"/>
      <c r="AH68" s="48"/>
      <c r="AI68" s="5"/>
      <c r="AJ68" s="48"/>
      <c r="AK68" s="5"/>
      <c r="AL68" s="48">
        <v>1</v>
      </c>
      <c r="AM68" s="5">
        <v>2000</v>
      </c>
      <c r="AN68" s="48"/>
      <c r="AO68" s="5"/>
      <c r="AP68" s="48"/>
      <c r="AQ68" s="5"/>
      <c r="AR68" s="48"/>
      <c r="AS68" s="5"/>
      <c r="AT68" s="48"/>
      <c r="AU68" s="5"/>
      <c r="AV68" s="65"/>
      <c r="AW68" s="5"/>
      <c r="AX68" s="48">
        <v>2</v>
      </c>
      <c r="AY68" s="5">
        <v>2000</v>
      </c>
      <c r="AZ68" s="48"/>
      <c r="BA68" s="5"/>
      <c r="BB68" s="48"/>
      <c r="BC68" s="5"/>
      <c r="BD68" s="48"/>
      <c r="BE68" s="5"/>
      <c r="BF68" s="48"/>
      <c r="BG68" s="5"/>
      <c r="BH68" s="48"/>
      <c r="BI68" s="5"/>
      <c r="BJ68" s="48"/>
      <c r="BK68" s="5"/>
      <c r="BL68" s="48"/>
      <c r="BM68" s="5"/>
      <c r="BN68" s="65"/>
      <c r="BO68" s="5"/>
      <c r="BP68" s="128">
        <v>2</v>
      </c>
      <c r="BQ68" s="5">
        <v>3100</v>
      </c>
      <c r="BR68" s="4"/>
      <c r="BS68" s="4"/>
      <c r="BT68" s="48"/>
      <c r="BU68" s="86"/>
      <c r="BV68" s="48"/>
      <c r="BW68" s="5"/>
      <c r="BX68" s="74"/>
      <c r="BY68" s="5"/>
      <c r="BZ68" s="48"/>
      <c r="CA68" s="5"/>
      <c r="CB68" s="48"/>
      <c r="CC68" s="5"/>
      <c r="CD68" s="4"/>
      <c r="CE68" s="5"/>
      <c r="CF68" s="48"/>
      <c r="CG68" s="5"/>
      <c r="CH68" s="48"/>
      <c r="CI68" s="5"/>
      <c r="CJ68" s="48"/>
      <c r="CK68" s="5"/>
      <c r="CL68" s="74"/>
      <c r="CM68" s="5"/>
      <c r="CN68" s="74"/>
      <c r="CO68" s="5"/>
      <c r="CP68" s="48"/>
      <c r="CQ68" s="5"/>
      <c r="CR68" s="48"/>
      <c r="CS68" s="5"/>
      <c r="CT68" s="48"/>
      <c r="CU68" s="5"/>
      <c r="CV68" s="112">
        <f t="shared" si="37"/>
        <v>0</v>
      </c>
      <c r="CW68" s="86">
        <f t="shared" si="38"/>
        <v>0</v>
      </c>
      <c r="CX68" s="112"/>
      <c r="CY68" s="86"/>
      <c r="CZ68" s="4"/>
      <c r="DA68" s="5"/>
      <c r="DB68" s="112"/>
      <c r="DC68" s="86"/>
      <c r="DD68" s="6"/>
      <c r="DE68" s="7"/>
      <c r="DF68" s="51">
        <f>B68+CZ68+DD68+D68+F68+H68+J68+L68+N68+P68+R68+T68+V68+X68+Z68+AB68+AD68+AF68+AH68+AJ68+AL68+AN68+AP68+AR68+AT68+AV68+AX68+AZ68+BB68+BD68+BF68+BH68+BJ68+BL68+BN68+BP68+BR68+BT68+BV68+BX68+BZ68+CB68+CD68+CF68+CH68+CJ68+CL68+CN68+CP68+CR68+CT68+CX68</f>
        <v>7</v>
      </c>
      <c r="DG68" s="7">
        <f>C68+DA68+DE68+E68+G68+I68+K68+M68+O68+Q68+S68+U68+W68+Y68+AA68+AC68+AE68+AG68+AI68+AK68+AM68+AO68+AQ68+AS68+AU68+AW68+AY68+BA68+BC68+BE68+BG68+BI68+BK68+BM68+BO68+BQ68+BS68+BU68+BW68+BY68+CA68+CC68+CE68+CG68+CI68+CK68+CM68+CO68+CQ68+CS68+CU68+CY68</f>
        <v>14100</v>
      </c>
      <c r="DH68" s="32">
        <f>DF68+21</f>
        <v>28</v>
      </c>
      <c r="DI68" s="33">
        <f>DG68+19326</f>
        <v>33426</v>
      </c>
      <c r="DJ68" s="142"/>
      <c r="DK68" s="142"/>
      <c r="DL68" s="36"/>
    </row>
    <row r="69" spans="1:116" ht="65.25" hidden="1" customHeight="1" x14ac:dyDescent="0.25">
      <c r="A69" s="4" t="s">
        <v>219</v>
      </c>
      <c r="B69" s="4"/>
      <c r="C69" s="5"/>
      <c r="D69" s="109"/>
      <c r="E69" s="5"/>
      <c r="F69" s="48"/>
      <c r="G69" s="5"/>
      <c r="H69" s="48"/>
      <c r="I69" s="5"/>
      <c r="J69" s="48"/>
      <c r="K69" s="5"/>
      <c r="L69" s="48"/>
      <c r="M69" s="5"/>
      <c r="N69" s="48"/>
      <c r="O69" s="5"/>
      <c r="P69" s="48"/>
      <c r="Q69" s="5"/>
      <c r="R69" s="48"/>
      <c r="S69" s="5"/>
      <c r="T69" s="65"/>
      <c r="U69" s="5"/>
      <c r="V69" s="41"/>
      <c r="W69" s="5"/>
      <c r="X69" s="41"/>
      <c r="Y69" s="5"/>
      <c r="Z69" s="48"/>
      <c r="AA69" s="5"/>
      <c r="AB69" s="48"/>
      <c r="AC69" s="5"/>
      <c r="AD69" s="74"/>
      <c r="AE69" s="5"/>
      <c r="AF69" s="48"/>
      <c r="AG69" s="5"/>
      <c r="AH69" s="48"/>
      <c r="AI69" s="5"/>
      <c r="AJ69" s="48"/>
      <c r="AK69" s="5"/>
      <c r="AL69" s="48"/>
      <c r="AM69" s="5"/>
      <c r="AN69" s="48"/>
      <c r="AO69" s="5"/>
      <c r="AP69" s="48"/>
      <c r="AQ69" s="5"/>
      <c r="AR69" s="48"/>
      <c r="AS69" s="5"/>
      <c r="AT69" s="48"/>
      <c r="AU69" s="5"/>
      <c r="AV69" s="65"/>
      <c r="AW69" s="5"/>
      <c r="AX69" s="48"/>
      <c r="AY69" s="5"/>
      <c r="AZ69" s="48"/>
      <c r="BA69" s="5"/>
      <c r="BB69" s="48"/>
      <c r="BC69" s="5"/>
      <c r="BD69" s="48"/>
      <c r="BE69" s="5"/>
      <c r="BF69" s="48"/>
      <c r="BG69" s="5"/>
      <c r="BH69" s="48"/>
      <c r="BI69" s="5"/>
      <c r="BJ69" s="48"/>
      <c r="BK69" s="5"/>
      <c r="BL69" s="48"/>
      <c r="BM69" s="5"/>
      <c r="BN69" s="65"/>
      <c r="BO69" s="5"/>
      <c r="BP69" s="128"/>
      <c r="BQ69" s="5"/>
      <c r="BR69" s="4"/>
      <c r="BS69" s="4"/>
      <c r="BT69" s="48"/>
      <c r="BU69" s="86"/>
      <c r="BV69" s="48"/>
      <c r="BW69" s="5"/>
      <c r="BX69" s="74"/>
      <c r="BY69" s="5"/>
      <c r="BZ69" s="48"/>
      <c r="CA69" s="5"/>
      <c r="CB69" s="48"/>
      <c r="CC69" s="5"/>
      <c r="CD69" s="4"/>
      <c r="CE69" s="5"/>
      <c r="CF69" s="48"/>
      <c r="CG69" s="5"/>
      <c r="CH69" s="48"/>
      <c r="CI69" s="5"/>
      <c r="CJ69" s="48"/>
      <c r="CK69" s="5"/>
      <c r="CL69" s="74"/>
      <c r="CM69" s="5"/>
      <c r="CN69" s="74"/>
      <c r="CO69" s="5"/>
      <c r="CP69" s="48"/>
      <c r="CQ69" s="5"/>
      <c r="CR69" s="48"/>
      <c r="CS69" s="5"/>
      <c r="CT69" s="48"/>
      <c r="CU69" s="5"/>
      <c r="CV69" s="112">
        <f t="shared" si="37"/>
        <v>0</v>
      </c>
      <c r="CW69" s="86">
        <f t="shared" si="38"/>
        <v>0</v>
      </c>
      <c r="CX69" s="112"/>
      <c r="CY69" s="86"/>
      <c r="CZ69" s="4"/>
      <c r="DA69" s="5"/>
      <c r="DB69" s="112"/>
      <c r="DC69" s="86"/>
      <c r="DD69" s="6"/>
      <c r="DE69" s="7"/>
      <c r="DF69" s="321">
        <v>6</v>
      </c>
      <c r="DG69" s="322">
        <v>9100</v>
      </c>
      <c r="DH69" s="32"/>
      <c r="DI69" s="33"/>
      <c r="DJ69" s="142"/>
      <c r="DK69" s="142"/>
      <c r="DL69" s="36"/>
    </row>
    <row r="70" spans="1:116" ht="14.25" customHeight="1" x14ac:dyDescent="0.25">
      <c r="A70" s="4" t="s">
        <v>29</v>
      </c>
      <c r="B70" s="4"/>
      <c r="C70" s="5"/>
      <c r="D70" s="109"/>
      <c r="E70" s="5"/>
      <c r="F70" s="48"/>
      <c r="G70" s="5"/>
      <c r="H70" s="48"/>
      <c r="I70" s="5"/>
      <c r="J70" s="48"/>
      <c r="K70" s="5"/>
      <c r="L70" s="48"/>
      <c r="M70" s="5"/>
      <c r="N70" s="48"/>
      <c r="O70" s="5"/>
      <c r="P70" s="48"/>
      <c r="Q70" s="5"/>
      <c r="R70" s="48"/>
      <c r="S70" s="5"/>
      <c r="T70" s="65"/>
      <c r="U70" s="5"/>
      <c r="V70" s="41">
        <v>1</v>
      </c>
      <c r="W70" s="5">
        <v>2000</v>
      </c>
      <c r="X70" s="41"/>
      <c r="Y70" s="5"/>
      <c r="Z70" s="48"/>
      <c r="AA70" s="5"/>
      <c r="AB70" s="48"/>
      <c r="AC70" s="5"/>
      <c r="AD70" s="74"/>
      <c r="AE70" s="5"/>
      <c r="AF70" s="48"/>
      <c r="AG70" s="5"/>
      <c r="AH70" s="48"/>
      <c r="AI70" s="5"/>
      <c r="AJ70" s="48"/>
      <c r="AK70" s="5"/>
      <c r="AL70" s="48"/>
      <c r="AM70" s="5"/>
      <c r="AN70" s="48"/>
      <c r="AO70" s="5"/>
      <c r="AP70" s="48"/>
      <c r="AQ70" s="5"/>
      <c r="AR70" s="48"/>
      <c r="AS70" s="5"/>
      <c r="AT70" s="48"/>
      <c r="AU70" s="5"/>
      <c r="AV70" s="65"/>
      <c r="AW70" s="5"/>
      <c r="AX70" s="48"/>
      <c r="AY70" s="5"/>
      <c r="AZ70" s="48"/>
      <c r="BA70" s="5"/>
      <c r="BB70" s="48"/>
      <c r="BC70" s="5"/>
      <c r="BD70" s="48"/>
      <c r="BE70" s="5"/>
      <c r="BF70" s="48"/>
      <c r="BG70" s="5"/>
      <c r="BH70" s="48"/>
      <c r="BI70" s="5"/>
      <c r="BJ70" s="48"/>
      <c r="BK70" s="5"/>
      <c r="BL70" s="48"/>
      <c r="BM70" s="5"/>
      <c r="BN70" s="65"/>
      <c r="BO70" s="5"/>
      <c r="BP70" s="128"/>
      <c r="BQ70" s="5"/>
      <c r="BR70" s="4">
        <v>1</v>
      </c>
      <c r="BS70" s="134">
        <v>800</v>
      </c>
      <c r="BT70" s="48">
        <v>2</v>
      </c>
      <c r="BU70" s="86">
        <v>1000</v>
      </c>
      <c r="BV70" s="48"/>
      <c r="BW70" s="5"/>
      <c r="BX70" s="74"/>
      <c r="BY70" s="5"/>
      <c r="BZ70" s="48"/>
      <c r="CA70" s="5"/>
      <c r="CB70" s="48"/>
      <c r="CC70" s="5"/>
      <c r="CD70" s="4"/>
      <c r="CE70" s="5"/>
      <c r="CF70" s="48">
        <v>1</v>
      </c>
      <c r="CG70" s="5">
        <v>200</v>
      </c>
      <c r="CH70" s="48"/>
      <c r="CI70" s="5"/>
      <c r="CJ70" s="48"/>
      <c r="CK70" s="5"/>
      <c r="CL70" s="74"/>
      <c r="CM70" s="5"/>
      <c r="CN70" s="74"/>
      <c r="CO70" s="5"/>
      <c r="CP70" s="48"/>
      <c r="CQ70" s="5"/>
      <c r="CR70" s="48"/>
      <c r="CS70" s="5"/>
      <c r="CT70" s="48"/>
      <c r="CU70" s="5"/>
      <c r="CV70" s="112">
        <f t="shared" si="37"/>
        <v>0</v>
      </c>
      <c r="CW70" s="86">
        <f t="shared" si="38"/>
        <v>0</v>
      </c>
      <c r="CX70" s="112"/>
      <c r="CY70" s="86"/>
      <c r="CZ70" s="4"/>
      <c r="DA70" s="5"/>
      <c r="DB70" s="112"/>
      <c r="DC70" s="86"/>
      <c r="DD70" s="6"/>
      <c r="DE70" s="7"/>
      <c r="DF70" s="51">
        <f t="shared" ref="DF70:DF99" si="40">B70+CZ70+DD70+D70+F70+H70+J70+L70+N70+P70+R70+T70+V70+X70+Z70+AB70+AD70+AF70+AH70+AJ70+AL70+AN70+AP70+AR70+AT70+AV70+AX70+AZ70+BB70+BD70+BF70+BH70+BJ70+BL70+BN70+BP70+BR70+BT70+BV70+BX70+BZ70+CB70+CD70+CF70+CH70+CJ70+CL70+CN70+CP70+CR70+CT70+CX70</f>
        <v>5</v>
      </c>
      <c r="DG70" s="7">
        <f t="shared" ref="DG70:DG99" si="41">C70+DA70+DE70+E70+G70+I70+K70+M70+O70+Q70+S70+U70+W70+Y70+AA70+AC70+AE70+AG70+AI70+AK70+AM70+AO70+AQ70+AS70+AU70+AW70+AY70+BA70+BC70+BE70+BG70+BI70+BK70+BM70+BO70+BQ70+BS70+BU70+BW70+BY70+CA70+CC70+CE70+CG70+CI70+CK70+CM70+CO70+CQ70+CS70+CU70+CY70</f>
        <v>4000</v>
      </c>
      <c r="DH70" s="32">
        <f>DF70+36</f>
        <v>41</v>
      </c>
      <c r="DI70" s="33">
        <f>DG70+23739</f>
        <v>27739</v>
      </c>
      <c r="DJ70" s="142"/>
      <c r="DK70" s="142"/>
      <c r="DL70" s="36"/>
    </row>
    <row r="71" spans="1:116" ht="32.25" hidden="1" customHeight="1" x14ac:dyDescent="0.25">
      <c r="A71" s="4" t="s">
        <v>196</v>
      </c>
      <c r="B71" s="4"/>
      <c r="C71" s="5"/>
      <c r="D71" s="109"/>
      <c r="E71" s="5"/>
      <c r="F71" s="48"/>
      <c r="G71" s="5"/>
      <c r="H71" s="48"/>
      <c r="I71" s="5"/>
      <c r="J71" s="48"/>
      <c r="K71" s="5"/>
      <c r="L71" s="48"/>
      <c r="M71" s="5"/>
      <c r="N71" s="48"/>
      <c r="O71" s="5"/>
      <c r="P71" s="48"/>
      <c r="Q71" s="5"/>
      <c r="R71" s="48"/>
      <c r="S71" s="5"/>
      <c r="T71" s="65"/>
      <c r="U71" s="5"/>
      <c r="V71" s="41"/>
      <c r="W71" s="5"/>
      <c r="X71" s="41"/>
      <c r="Y71" s="5"/>
      <c r="Z71" s="48"/>
      <c r="AA71" s="5"/>
      <c r="AB71" s="48"/>
      <c r="AC71" s="5"/>
      <c r="AD71" s="74"/>
      <c r="AE71" s="5"/>
      <c r="AF71" s="48"/>
      <c r="AG71" s="5"/>
      <c r="AH71" s="48"/>
      <c r="AI71" s="5"/>
      <c r="AJ71" s="48"/>
      <c r="AK71" s="5"/>
      <c r="AL71" s="48"/>
      <c r="AM71" s="5"/>
      <c r="AN71" s="48"/>
      <c r="AO71" s="5"/>
      <c r="AP71" s="48"/>
      <c r="AQ71" s="5"/>
      <c r="AR71" s="48"/>
      <c r="AS71" s="5"/>
      <c r="AT71" s="48"/>
      <c r="AU71" s="5"/>
      <c r="AV71" s="65"/>
      <c r="AW71" s="5"/>
      <c r="AX71" s="48"/>
      <c r="AY71" s="5"/>
      <c r="AZ71" s="48"/>
      <c r="BA71" s="5"/>
      <c r="BB71" s="48"/>
      <c r="BC71" s="5"/>
      <c r="BD71" s="48"/>
      <c r="BE71" s="5"/>
      <c r="BF71" s="48"/>
      <c r="BG71" s="5"/>
      <c r="BH71" s="48"/>
      <c r="BI71" s="5"/>
      <c r="BJ71" s="48"/>
      <c r="BK71" s="5"/>
      <c r="BL71" s="48"/>
      <c r="BM71" s="5"/>
      <c r="BN71" s="65"/>
      <c r="BO71" s="5"/>
      <c r="BP71" s="128"/>
      <c r="BQ71" s="5"/>
      <c r="BR71" s="4"/>
      <c r="BS71" s="4"/>
      <c r="BT71" s="48"/>
      <c r="BU71" s="86"/>
      <c r="BV71" s="48"/>
      <c r="BW71" s="5"/>
      <c r="BX71" s="74"/>
      <c r="BY71" s="5"/>
      <c r="BZ71" s="48"/>
      <c r="CA71" s="5"/>
      <c r="CB71" s="48"/>
      <c r="CC71" s="5"/>
      <c r="CD71" s="4"/>
      <c r="CE71" s="5"/>
      <c r="CF71" s="48"/>
      <c r="CG71" s="5"/>
      <c r="CH71" s="48"/>
      <c r="CI71" s="5"/>
      <c r="CJ71" s="48"/>
      <c r="CK71" s="5"/>
      <c r="CL71" s="74"/>
      <c r="CM71" s="5"/>
      <c r="CN71" s="74"/>
      <c r="CO71" s="5"/>
      <c r="CP71" s="48"/>
      <c r="CQ71" s="5"/>
      <c r="CR71" s="48"/>
      <c r="CS71" s="5"/>
      <c r="CT71" s="48"/>
      <c r="CU71" s="5"/>
      <c r="CV71" s="112">
        <f t="shared" si="37"/>
        <v>0</v>
      </c>
      <c r="CW71" s="86">
        <f t="shared" si="38"/>
        <v>0</v>
      </c>
      <c r="CX71" s="112"/>
      <c r="CY71" s="86"/>
      <c r="CZ71" s="4"/>
      <c r="DA71" s="5"/>
      <c r="DB71" s="112"/>
      <c r="DC71" s="86"/>
      <c r="DD71" s="6"/>
      <c r="DE71" s="7"/>
      <c r="DF71" s="51">
        <f t="shared" si="40"/>
        <v>0</v>
      </c>
      <c r="DG71" s="7">
        <f t="shared" si="41"/>
        <v>0</v>
      </c>
      <c r="DH71" s="32"/>
      <c r="DI71" s="33"/>
      <c r="DJ71" s="142"/>
      <c r="DK71" s="142"/>
      <c r="DL71" s="36"/>
    </row>
    <row r="72" spans="1:116" x14ac:dyDescent="0.25">
      <c r="A72" s="4" t="s">
        <v>30</v>
      </c>
      <c r="B72" s="4"/>
      <c r="C72" s="5"/>
      <c r="D72" s="109"/>
      <c r="E72" s="5"/>
      <c r="F72" s="48"/>
      <c r="G72" s="5"/>
      <c r="H72" s="48"/>
      <c r="I72" s="5"/>
      <c r="J72" s="48"/>
      <c r="K72" s="5"/>
      <c r="L72" s="48"/>
      <c r="M72" s="5"/>
      <c r="N72" s="48"/>
      <c r="O72" s="5"/>
      <c r="P72" s="48"/>
      <c r="Q72" s="5"/>
      <c r="R72" s="48"/>
      <c r="S72" s="5"/>
      <c r="T72" s="65"/>
      <c r="U72" s="5"/>
      <c r="V72" s="41"/>
      <c r="W72" s="5"/>
      <c r="X72" s="41">
        <v>1</v>
      </c>
      <c r="Y72" s="5">
        <v>900</v>
      </c>
      <c r="Z72" s="48">
        <v>1</v>
      </c>
      <c r="AA72" s="5">
        <v>1000</v>
      </c>
      <c r="AB72" s="48"/>
      <c r="AC72" s="5"/>
      <c r="AD72" s="74"/>
      <c r="AE72" s="5"/>
      <c r="AF72" s="48"/>
      <c r="AG72" s="5"/>
      <c r="AH72" s="48"/>
      <c r="AI72" s="5"/>
      <c r="AJ72" s="48"/>
      <c r="AK72" s="5"/>
      <c r="AL72" s="48"/>
      <c r="AM72" s="5"/>
      <c r="AN72" s="48"/>
      <c r="AO72" s="5"/>
      <c r="AP72" s="48"/>
      <c r="AQ72" s="5"/>
      <c r="AR72" s="48"/>
      <c r="AS72" s="5"/>
      <c r="AT72" s="48"/>
      <c r="AU72" s="5"/>
      <c r="AV72" s="65"/>
      <c r="AW72" s="5"/>
      <c r="AX72" s="48"/>
      <c r="AY72" s="5"/>
      <c r="AZ72" s="48"/>
      <c r="BA72" s="5"/>
      <c r="BB72" s="48"/>
      <c r="BC72" s="5"/>
      <c r="BD72" s="48"/>
      <c r="BE72" s="5"/>
      <c r="BF72" s="48"/>
      <c r="BG72" s="5"/>
      <c r="BH72" s="48"/>
      <c r="BI72" s="5"/>
      <c r="BJ72" s="48"/>
      <c r="BK72" s="5"/>
      <c r="BL72" s="48"/>
      <c r="BM72" s="5"/>
      <c r="BN72" s="65"/>
      <c r="BO72" s="5"/>
      <c r="BP72" s="128"/>
      <c r="BQ72" s="5"/>
      <c r="BR72" s="4"/>
      <c r="BS72" s="4"/>
      <c r="BT72" s="48"/>
      <c r="BU72" s="86"/>
      <c r="BV72" s="48"/>
      <c r="BW72" s="5"/>
      <c r="BX72" s="74"/>
      <c r="BY72" s="5"/>
      <c r="BZ72" s="48"/>
      <c r="CA72" s="5"/>
      <c r="CB72" s="48"/>
      <c r="CC72" s="5"/>
      <c r="CD72" s="4"/>
      <c r="CE72" s="5"/>
      <c r="CF72" s="48"/>
      <c r="CG72" s="5"/>
      <c r="CH72" s="48"/>
      <c r="CI72" s="5"/>
      <c r="CJ72" s="48"/>
      <c r="CK72" s="5"/>
      <c r="CL72" s="74"/>
      <c r="CM72" s="5"/>
      <c r="CN72" s="74"/>
      <c r="CO72" s="5"/>
      <c r="CP72" s="48"/>
      <c r="CQ72" s="5"/>
      <c r="CR72" s="48"/>
      <c r="CS72" s="5"/>
      <c r="CT72" s="48"/>
      <c r="CU72" s="5"/>
      <c r="CV72" s="112">
        <f t="shared" si="37"/>
        <v>0</v>
      </c>
      <c r="CW72" s="86">
        <f t="shared" si="38"/>
        <v>0</v>
      </c>
      <c r="CX72" s="112"/>
      <c r="CY72" s="86"/>
      <c r="CZ72" s="4"/>
      <c r="DA72" s="5"/>
      <c r="DB72" s="112"/>
      <c r="DC72" s="86"/>
      <c r="DD72" s="6"/>
      <c r="DE72" s="7"/>
      <c r="DF72" s="51">
        <f t="shared" si="40"/>
        <v>2</v>
      </c>
      <c r="DG72" s="7">
        <f t="shared" si="41"/>
        <v>1900</v>
      </c>
      <c r="DH72" s="32">
        <f>DF72+26</f>
        <v>28</v>
      </c>
      <c r="DI72" s="33">
        <f>DG72+19720</f>
        <v>21620</v>
      </c>
      <c r="DJ72" s="142"/>
      <c r="DK72" s="142"/>
      <c r="DL72" s="36"/>
    </row>
    <row r="73" spans="1:116" ht="15.75" hidden="1" customHeight="1" x14ac:dyDescent="0.25">
      <c r="A73" s="4" t="s">
        <v>110</v>
      </c>
      <c r="B73" s="4"/>
      <c r="C73" s="5"/>
      <c r="D73" s="109"/>
      <c r="E73" s="5"/>
      <c r="F73" s="48"/>
      <c r="G73" s="5"/>
      <c r="H73" s="48"/>
      <c r="I73" s="5"/>
      <c r="J73" s="48"/>
      <c r="K73" s="5"/>
      <c r="L73" s="48"/>
      <c r="M73" s="5"/>
      <c r="N73" s="48"/>
      <c r="O73" s="5"/>
      <c r="P73" s="48"/>
      <c r="Q73" s="5"/>
      <c r="R73" s="48"/>
      <c r="S73" s="5"/>
      <c r="T73" s="65"/>
      <c r="U73" s="5"/>
      <c r="V73" s="41"/>
      <c r="W73" s="5"/>
      <c r="X73" s="41"/>
      <c r="Y73" s="5"/>
      <c r="Z73" s="48"/>
      <c r="AA73" s="5"/>
      <c r="AB73" s="48"/>
      <c r="AC73" s="5"/>
      <c r="AD73" s="74"/>
      <c r="AE73" s="5"/>
      <c r="AF73" s="48"/>
      <c r="AG73" s="5"/>
      <c r="AH73" s="48"/>
      <c r="AI73" s="5"/>
      <c r="AJ73" s="48"/>
      <c r="AK73" s="5"/>
      <c r="AL73" s="48"/>
      <c r="AM73" s="5"/>
      <c r="AN73" s="48"/>
      <c r="AO73" s="5"/>
      <c r="AP73" s="48"/>
      <c r="AQ73" s="5"/>
      <c r="AR73" s="48"/>
      <c r="AS73" s="5"/>
      <c r="AT73" s="48"/>
      <c r="AU73" s="5"/>
      <c r="AV73" s="65"/>
      <c r="AW73" s="5"/>
      <c r="AX73" s="48"/>
      <c r="AY73" s="5"/>
      <c r="AZ73" s="48"/>
      <c r="BA73" s="5"/>
      <c r="BB73" s="48"/>
      <c r="BC73" s="5"/>
      <c r="BD73" s="48"/>
      <c r="BE73" s="5"/>
      <c r="BF73" s="48"/>
      <c r="BG73" s="5"/>
      <c r="BH73" s="48"/>
      <c r="BI73" s="5"/>
      <c r="BJ73" s="48"/>
      <c r="BK73" s="5"/>
      <c r="BL73" s="48"/>
      <c r="BM73" s="5"/>
      <c r="BN73" s="65"/>
      <c r="BO73" s="5"/>
      <c r="BP73" s="128"/>
      <c r="BQ73" s="5"/>
      <c r="BR73" s="4"/>
      <c r="BS73" s="4"/>
      <c r="BT73" s="48"/>
      <c r="BU73" s="86"/>
      <c r="BV73" s="48"/>
      <c r="BW73" s="5"/>
      <c r="BX73" s="74"/>
      <c r="BY73" s="5"/>
      <c r="BZ73" s="48"/>
      <c r="CA73" s="5"/>
      <c r="CB73" s="48"/>
      <c r="CC73" s="5"/>
      <c r="CD73" s="4"/>
      <c r="CE73" s="5"/>
      <c r="CF73" s="48"/>
      <c r="CG73" s="5"/>
      <c r="CH73" s="48"/>
      <c r="CI73" s="5"/>
      <c r="CJ73" s="48"/>
      <c r="CK73" s="5"/>
      <c r="CL73" s="74"/>
      <c r="CM73" s="5"/>
      <c r="CN73" s="74"/>
      <c r="CO73" s="5"/>
      <c r="CP73" s="48"/>
      <c r="CQ73" s="5"/>
      <c r="CR73" s="48"/>
      <c r="CS73" s="5"/>
      <c r="CT73" s="48"/>
      <c r="CU73" s="5"/>
      <c r="CV73" s="112">
        <f t="shared" si="37"/>
        <v>0</v>
      </c>
      <c r="CW73" s="86">
        <f t="shared" si="38"/>
        <v>0</v>
      </c>
      <c r="CX73" s="112"/>
      <c r="CY73" s="86"/>
      <c r="CZ73" s="4"/>
      <c r="DA73" s="5"/>
      <c r="DB73" s="112"/>
      <c r="DC73" s="86"/>
      <c r="DD73" s="6"/>
      <c r="DE73" s="7"/>
      <c r="DF73" s="51">
        <f t="shared" si="40"/>
        <v>0</v>
      </c>
      <c r="DG73" s="7">
        <f t="shared" si="41"/>
        <v>0</v>
      </c>
      <c r="DH73" s="32"/>
      <c r="DI73" s="33"/>
      <c r="DJ73" s="142"/>
      <c r="DK73" s="142"/>
      <c r="DL73" s="36"/>
    </row>
    <row r="74" spans="1:116" ht="13.5" customHeight="1" x14ac:dyDescent="0.25">
      <c r="A74" s="4" t="s">
        <v>31</v>
      </c>
      <c r="B74" s="4"/>
      <c r="C74" s="5"/>
      <c r="D74" s="109"/>
      <c r="E74" s="5"/>
      <c r="F74" s="48"/>
      <c r="G74" s="5"/>
      <c r="H74" s="48"/>
      <c r="I74" s="5"/>
      <c r="J74" s="48"/>
      <c r="K74" s="5"/>
      <c r="L74" s="48"/>
      <c r="M74" s="5"/>
      <c r="N74" s="48"/>
      <c r="O74" s="5"/>
      <c r="P74" s="48"/>
      <c r="Q74" s="5"/>
      <c r="R74" s="48"/>
      <c r="S74" s="5"/>
      <c r="T74" s="65"/>
      <c r="U74" s="5"/>
      <c r="V74" s="41"/>
      <c r="W74" s="5"/>
      <c r="X74" s="41"/>
      <c r="Y74" s="5"/>
      <c r="Z74" s="48"/>
      <c r="AA74" s="5"/>
      <c r="AB74" s="48"/>
      <c r="AC74" s="5"/>
      <c r="AD74" s="74">
        <v>1</v>
      </c>
      <c r="AE74" s="5">
        <v>3390</v>
      </c>
      <c r="AF74" s="48"/>
      <c r="AG74" s="5"/>
      <c r="AH74" s="48"/>
      <c r="AI74" s="5"/>
      <c r="AJ74" s="48"/>
      <c r="AK74" s="5"/>
      <c r="AL74" s="48"/>
      <c r="AM74" s="5"/>
      <c r="AN74" s="48"/>
      <c r="AO74" s="5"/>
      <c r="AP74" s="48"/>
      <c r="AQ74" s="5"/>
      <c r="AR74" s="48"/>
      <c r="AS74" s="5"/>
      <c r="AT74" s="48"/>
      <c r="AU74" s="5"/>
      <c r="AV74" s="65"/>
      <c r="AW74" s="5"/>
      <c r="AX74" s="48"/>
      <c r="AY74" s="5"/>
      <c r="AZ74" s="48"/>
      <c r="BA74" s="5"/>
      <c r="BB74" s="48"/>
      <c r="BC74" s="5"/>
      <c r="BD74" s="48"/>
      <c r="BE74" s="5"/>
      <c r="BF74" s="48"/>
      <c r="BG74" s="5"/>
      <c r="BH74" s="48"/>
      <c r="BI74" s="5"/>
      <c r="BJ74" s="48"/>
      <c r="BK74" s="5"/>
      <c r="BL74" s="48"/>
      <c r="BM74" s="5"/>
      <c r="BN74" s="65"/>
      <c r="BO74" s="5"/>
      <c r="BP74" s="128"/>
      <c r="BQ74" s="5"/>
      <c r="BR74" s="4"/>
      <c r="BS74" s="134"/>
      <c r="BT74" s="48"/>
      <c r="BU74" s="86"/>
      <c r="BV74" s="48">
        <v>1</v>
      </c>
      <c r="BW74" s="5">
        <v>170</v>
      </c>
      <c r="BX74" s="74"/>
      <c r="BY74" s="5"/>
      <c r="BZ74" s="48"/>
      <c r="CA74" s="5"/>
      <c r="CB74" s="48"/>
      <c r="CC74" s="5"/>
      <c r="CD74" s="4"/>
      <c r="CE74" s="5"/>
      <c r="CF74" s="48"/>
      <c r="CG74" s="5"/>
      <c r="CH74" s="48"/>
      <c r="CI74" s="5"/>
      <c r="CJ74" s="48"/>
      <c r="CK74" s="5"/>
      <c r="CL74" s="74"/>
      <c r="CM74" s="5"/>
      <c r="CN74" s="74"/>
      <c r="CO74" s="5"/>
      <c r="CP74" s="48"/>
      <c r="CQ74" s="5"/>
      <c r="CR74" s="48"/>
      <c r="CS74" s="5"/>
      <c r="CT74" s="48"/>
      <c r="CU74" s="5"/>
      <c r="CV74" s="112">
        <f t="shared" si="37"/>
        <v>0</v>
      </c>
      <c r="CW74" s="86">
        <f t="shared" si="38"/>
        <v>0</v>
      </c>
      <c r="CX74" s="112"/>
      <c r="CY74" s="86"/>
      <c r="CZ74" s="4"/>
      <c r="DA74" s="5"/>
      <c r="DB74" s="112"/>
      <c r="DC74" s="86"/>
      <c r="DD74" s="6"/>
      <c r="DE74" s="7"/>
      <c r="DF74" s="51">
        <f t="shared" si="40"/>
        <v>2</v>
      </c>
      <c r="DG74" s="7">
        <f t="shared" si="41"/>
        <v>3560</v>
      </c>
      <c r="DH74" s="32">
        <f>DF74+16</f>
        <v>18</v>
      </c>
      <c r="DI74" s="33">
        <f>DG74+24420</f>
        <v>27980</v>
      </c>
      <c r="DJ74" s="142"/>
      <c r="DK74" s="142"/>
      <c r="DL74" s="36"/>
    </row>
    <row r="75" spans="1:116" hidden="1" x14ac:dyDescent="0.25">
      <c r="A75" s="4" t="s">
        <v>182</v>
      </c>
      <c r="B75" s="4"/>
      <c r="C75" s="5"/>
      <c r="D75" s="109"/>
      <c r="E75" s="5"/>
      <c r="F75" s="48"/>
      <c r="G75" s="5"/>
      <c r="H75" s="48"/>
      <c r="I75" s="5"/>
      <c r="J75" s="48"/>
      <c r="K75" s="5"/>
      <c r="L75" s="48"/>
      <c r="M75" s="5"/>
      <c r="N75" s="48"/>
      <c r="O75" s="5"/>
      <c r="P75" s="48"/>
      <c r="Q75" s="5"/>
      <c r="R75" s="48"/>
      <c r="S75" s="5"/>
      <c r="T75" s="65"/>
      <c r="U75" s="5"/>
      <c r="V75" s="41"/>
      <c r="W75" s="5"/>
      <c r="X75" s="41"/>
      <c r="Y75" s="5"/>
      <c r="Z75" s="48"/>
      <c r="AA75" s="5"/>
      <c r="AB75" s="48"/>
      <c r="AC75" s="5"/>
      <c r="AD75" s="74"/>
      <c r="AE75" s="5"/>
      <c r="AF75" s="48"/>
      <c r="AG75" s="5"/>
      <c r="AH75" s="48"/>
      <c r="AI75" s="5"/>
      <c r="AJ75" s="48"/>
      <c r="AK75" s="5"/>
      <c r="AL75" s="48"/>
      <c r="AM75" s="5"/>
      <c r="AN75" s="48"/>
      <c r="AO75" s="5"/>
      <c r="AP75" s="48"/>
      <c r="AQ75" s="5"/>
      <c r="AR75" s="48"/>
      <c r="AS75" s="5"/>
      <c r="AT75" s="48"/>
      <c r="AU75" s="5"/>
      <c r="AV75" s="65"/>
      <c r="AW75" s="5"/>
      <c r="AX75" s="48"/>
      <c r="AY75" s="5"/>
      <c r="AZ75" s="48"/>
      <c r="BA75" s="5"/>
      <c r="BB75" s="48"/>
      <c r="BC75" s="5"/>
      <c r="BD75" s="48"/>
      <c r="BE75" s="5"/>
      <c r="BF75" s="48"/>
      <c r="BG75" s="5"/>
      <c r="BH75" s="48"/>
      <c r="BI75" s="5"/>
      <c r="BJ75" s="48"/>
      <c r="BK75" s="5"/>
      <c r="BL75" s="48"/>
      <c r="BM75" s="5"/>
      <c r="BN75" s="65"/>
      <c r="BO75" s="5"/>
      <c r="BP75" s="128"/>
      <c r="BQ75" s="5"/>
      <c r="BR75" s="4"/>
      <c r="BS75" s="4"/>
      <c r="BT75" s="48"/>
      <c r="BU75" s="86"/>
      <c r="BV75" s="48"/>
      <c r="BW75" s="5"/>
      <c r="BX75" s="74"/>
      <c r="BY75" s="5"/>
      <c r="BZ75" s="48"/>
      <c r="CA75" s="5"/>
      <c r="CB75" s="48"/>
      <c r="CC75" s="5"/>
      <c r="CD75" s="4"/>
      <c r="CE75" s="5"/>
      <c r="CF75" s="48"/>
      <c r="CG75" s="5"/>
      <c r="CH75" s="48"/>
      <c r="CI75" s="5"/>
      <c r="CJ75" s="48"/>
      <c r="CK75" s="5"/>
      <c r="CL75" s="74"/>
      <c r="CM75" s="5"/>
      <c r="CN75" s="74"/>
      <c r="CO75" s="5"/>
      <c r="CP75" s="48"/>
      <c r="CQ75" s="5"/>
      <c r="CR75" s="48"/>
      <c r="CS75" s="5"/>
      <c r="CT75" s="48"/>
      <c r="CU75" s="5"/>
      <c r="CV75" s="112">
        <f t="shared" si="37"/>
        <v>0</v>
      </c>
      <c r="CW75" s="86">
        <f t="shared" si="38"/>
        <v>0</v>
      </c>
      <c r="CX75" s="112"/>
      <c r="CY75" s="86"/>
      <c r="CZ75" s="4"/>
      <c r="DA75" s="5"/>
      <c r="DB75" s="112"/>
      <c r="DC75" s="86"/>
      <c r="DD75" s="6"/>
      <c r="DE75" s="7"/>
      <c r="DF75" s="51">
        <f t="shared" si="40"/>
        <v>0</v>
      </c>
      <c r="DG75" s="7">
        <f t="shared" si="41"/>
        <v>0</v>
      </c>
      <c r="DH75" s="32"/>
      <c r="DI75" s="33"/>
      <c r="DJ75" s="142"/>
      <c r="DK75" s="142"/>
      <c r="DL75" s="36"/>
    </row>
    <row r="76" spans="1:116" x14ac:dyDescent="0.25">
      <c r="A76" s="4" t="s">
        <v>32</v>
      </c>
      <c r="B76" s="4"/>
      <c r="C76" s="5"/>
      <c r="D76" s="109"/>
      <c r="E76" s="5"/>
      <c r="F76" s="48"/>
      <c r="G76" s="5"/>
      <c r="H76" s="48"/>
      <c r="I76" s="5"/>
      <c r="J76" s="48"/>
      <c r="K76" s="5"/>
      <c r="L76" s="48"/>
      <c r="M76" s="5"/>
      <c r="N76" s="48"/>
      <c r="O76" s="5"/>
      <c r="P76" s="48"/>
      <c r="Q76" s="5"/>
      <c r="R76" s="48"/>
      <c r="S76" s="5"/>
      <c r="T76" s="65"/>
      <c r="U76" s="5"/>
      <c r="V76" s="41"/>
      <c r="W76" s="5"/>
      <c r="X76" s="41"/>
      <c r="Y76" s="5"/>
      <c r="Z76" s="48"/>
      <c r="AA76" s="5"/>
      <c r="AB76" s="48"/>
      <c r="AC76" s="5"/>
      <c r="AD76" s="74"/>
      <c r="AE76" s="5"/>
      <c r="AF76" s="48"/>
      <c r="AG76" s="5"/>
      <c r="AH76" s="48"/>
      <c r="AI76" s="5"/>
      <c r="AJ76" s="48"/>
      <c r="AK76" s="5"/>
      <c r="AL76" s="48"/>
      <c r="AM76" s="5"/>
      <c r="AN76" s="48">
        <v>1</v>
      </c>
      <c r="AO76" s="5">
        <v>700</v>
      </c>
      <c r="AP76" s="48"/>
      <c r="AQ76" s="5"/>
      <c r="AR76" s="48"/>
      <c r="AS76" s="5"/>
      <c r="AT76" s="48"/>
      <c r="AU76" s="5"/>
      <c r="AV76" s="65"/>
      <c r="AW76" s="5"/>
      <c r="AX76" s="48">
        <v>1</v>
      </c>
      <c r="AY76" s="5">
        <v>5000</v>
      </c>
      <c r="AZ76" s="48"/>
      <c r="BA76" s="5"/>
      <c r="BB76" s="48"/>
      <c r="BC76" s="5"/>
      <c r="BD76" s="48"/>
      <c r="BE76" s="5"/>
      <c r="BF76" s="48"/>
      <c r="BG76" s="5"/>
      <c r="BH76" s="48"/>
      <c r="BI76" s="5"/>
      <c r="BJ76" s="48"/>
      <c r="BK76" s="5"/>
      <c r="BL76" s="48"/>
      <c r="BM76" s="5"/>
      <c r="BN76" s="65"/>
      <c r="BO76" s="5"/>
      <c r="BP76" s="128"/>
      <c r="BQ76" s="5"/>
      <c r="BR76" s="4"/>
      <c r="BS76" s="4"/>
      <c r="BT76" s="48"/>
      <c r="BU76" s="86"/>
      <c r="BV76" s="48"/>
      <c r="BW76" s="5"/>
      <c r="BX76" s="74"/>
      <c r="BY76" s="5"/>
      <c r="BZ76" s="48"/>
      <c r="CA76" s="5"/>
      <c r="CB76" s="48"/>
      <c r="CC76" s="5"/>
      <c r="CD76" s="4"/>
      <c r="CE76" s="5"/>
      <c r="CF76" s="48"/>
      <c r="CG76" s="5"/>
      <c r="CH76" s="48"/>
      <c r="CI76" s="5"/>
      <c r="CJ76" s="48"/>
      <c r="CK76" s="5"/>
      <c r="CL76" s="74"/>
      <c r="CM76" s="5"/>
      <c r="CN76" s="74"/>
      <c r="CO76" s="5"/>
      <c r="CP76" s="48"/>
      <c r="CQ76" s="5"/>
      <c r="CR76" s="48"/>
      <c r="CS76" s="5"/>
      <c r="CT76" s="48"/>
      <c r="CU76" s="5"/>
      <c r="CV76" s="112">
        <f t="shared" si="37"/>
        <v>0</v>
      </c>
      <c r="CW76" s="86">
        <f t="shared" si="38"/>
        <v>0</v>
      </c>
      <c r="CX76" s="112"/>
      <c r="CY76" s="86"/>
      <c r="CZ76" s="4"/>
      <c r="DA76" s="5"/>
      <c r="DB76" s="112"/>
      <c r="DC76" s="86"/>
      <c r="DD76" s="6"/>
      <c r="DE76" s="7"/>
      <c r="DF76" s="51">
        <f t="shared" si="40"/>
        <v>2</v>
      </c>
      <c r="DG76" s="7">
        <f t="shared" si="41"/>
        <v>5700</v>
      </c>
      <c r="DH76" s="32">
        <f>DF76+9</f>
        <v>11</v>
      </c>
      <c r="DI76" s="33">
        <f>DG76+9250</f>
        <v>14950</v>
      </c>
      <c r="DJ76" s="142"/>
      <c r="DK76" s="142"/>
      <c r="DL76" s="36"/>
    </row>
    <row r="77" spans="1:116" ht="31.5" hidden="1" x14ac:dyDescent="0.25">
      <c r="A77" s="4" t="s">
        <v>151</v>
      </c>
      <c r="B77" s="4"/>
      <c r="C77" s="5"/>
      <c r="D77" s="109"/>
      <c r="E77" s="5"/>
      <c r="F77" s="48"/>
      <c r="G77" s="5"/>
      <c r="H77" s="48"/>
      <c r="I77" s="5"/>
      <c r="J77" s="48"/>
      <c r="K77" s="5"/>
      <c r="L77" s="48"/>
      <c r="M77" s="5"/>
      <c r="N77" s="48"/>
      <c r="O77" s="5"/>
      <c r="P77" s="48"/>
      <c r="Q77" s="5"/>
      <c r="R77" s="48"/>
      <c r="S77" s="5"/>
      <c r="T77" s="65"/>
      <c r="U77" s="5"/>
      <c r="V77" s="41"/>
      <c r="W77" s="5"/>
      <c r="X77" s="41"/>
      <c r="Y77" s="5"/>
      <c r="Z77" s="48"/>
      <c r="AA77" s="5"/>
      <c r="AB77" s="48"/>
      <c r="AC77" s="5"/>
      <c r="AD77" s="74"/>
      <c r="AE77" s="5"/>
      <c r="AF77" s="48"/>
      <c r="AG77" s="5"/>
      <c r="AH77" s="48"/>
      <c r="AI77" s="5"/>
      <c r="AJ77" s="48"/>
      <c r="AK77" s="5"/>
      <c r="AL77" s="48"/>
      <c r="AM77" s="5"/>
      <c r="AN77" s="48"/>
      <c r="AO77" s="5"/>
      <c r="AP77" s="48"/>
      <c r="AQ77" s="5"/>
      <c r="AR77" s="48"/>
      <c r="AS77" s="5"/>
      <c r="AT77" s="48"/>
      <c r="AU77" s="5"/>
      <c r="AV77" s="65"/>
      <c r="AW77" s="5"/>
      <c r="AX77" s="48"/>
      <c r="AY77" s="5"/>
      <c r="AZ77" s="48"/>
      <c r="BA77" s="5"/>
      <c r="BB77" s="48"/>
      <c r="BC77" s="5"/>
      <c r="BD77" s="48"/>
      <c r="BE77" s="5"/>
      <c r="BF77" s="48"/>
      <c r="BG77" s="5"/>
      <c r="BH77" s="48"/>
      <c r="BI77" s="5"/>
      <c r="BJ77" s="48"/>
      <c r="BK77" s="5"/>
      <c r="BL77" s="48"/>
      <c r="BM77" s="5"/>
      <c r="BN77" s="65"/>
      <c r="BO77" s="5"/>
      <c r="BP77" s="128"/>
      <c r="BQ77" s="5"/>
      <c r="BR77" s="4"/>
      <c r="BS77" s="4"/>
      <c r="BT77" s="48"/>
      <c r="BU77" s="86"/>
      <c r="BV77" s="48"/>
      <c r="BW77" s="5"/>
      <c r="BX77" s="74"/>
      <c r="BY77" s="5"/>
      <c r="BZ77" s="48"/>
      <c r="CA77" s="5"/>
      <c r="CB77" s="48"/>
      <c r="CC77" s="5"/>
      <c r="CD77" s="4"/>
      <c r="CE77" s="5"/>
      <c r="CF77" s="48"/>
      <c r="CG77" s="5"/>
      <c r="CH77" s="48"/>
      <c r="CI77" s="5"/>
      <c r="CJ77" s="48"/>
      <c r="CK77" s="5"/>
      <c r="CL77" s="74"/>
      <c r="CM77" s="5"/>
      <c r="CN77" s="74"/>
      <c r="CO77" s="5"/>
      <c r="CP77" s="48"/>
      <c r="CQ77" s="5"/>
      <c r="CR77" s="48"/>
      <c r="CS77" s="5"/>
      <c r="CT77" s="48"/>
      <c r="CU77" s="5"/>
      <c r="CV77" s="112">
        <f t="shared" si="37"/>
        <v>0</v>
      </c>
      <c r="CW77" s="86">
        <f t="shared" si="38"/>
        <v>0</v>
      </c>
      <c r="CX77" s="112"/>
      <c r="CY77" s="86"/>
      <c r="CZ77" s="4"/>
      <c r="DA77" s="5"/>
      <c r="DB77" s="112"/>
      <c r="DC77" s="86"/>
      <c r="DD77" s="6"/>
      <c r="DE77" s="7"/>
      <c r="DF77" s="51">
        <f t="shared" si="40"/>
        <v>0</v>
      </c>
      <c r="DG77" s="7">
        <f t="shared" si="41"/>
        <v>0</v>
      </c>
      <c r="DH77" s="32"/>
      <c r="DI77" s="33"/>
      <c r="DJ77" s="142"/>
      <c r="DK77" s="142"/>
      <c r="DL77" s="36"/>
    </row>
    <row r="78" spans="1:116" ht="14.25" customHeight="1" x14ac:dyDescent="0.25">
      <c r="A78" s="4" t="s">
        <v>33</v>
      </c>
      <c r="B78" s="4"/>
      <c r="C78" s="5"/>
      <c r="D78" s="109"/>
      <c r="E78" s="5"/>
      <c r="F78" s="48"/>
      <c r="G78" s="5"/>
      <c r="H78" s="48"/>
      <c r="I78" s="5"/>
      <c r="J78" s="48"/>
      <c r="K78" s="5"/>
      <c r="L78" s="48"/>
      <c r="M78" s="5"/>
      <c r="N78" s="48"/>
      <c r="O78" s="5"/>
      <c r="P78" s="48"/>
      <c r="Q78" s="5"/>
      <c r="R78" s="48"/>
      <c r="S78" s="5"/>
      <c r="T78" s="65"/>
      <c r="U78" s="5"/>
      <c r="V78" s="41"/>
      <c r="W78" s="5"/>
      <c r="X78" s="41"/>
      <c r="Y78" s="5"/>
      <c r="Z78" s="48"/>
      <c r="AA78" s="5"/>
      <c r="AB78" s="48"/>
      <c r="AC78" s="5"/>
      <c r="AD78" s="74"/>
      <c r="AE78" s="5"/>
      <c r="AF78" s="48"/>
      <c r="AG78" s="5"/>
      <c r="AH78" s="48"/>
      <c r="AI78" s="5"/>
      <c r="AJ78" s="48"/>
      <c r="AK78" s="5"/>
      <c r="AL78" s="48"/>
      <c r="AM78" s="5"/>
      <c r="AN78" s="48"/>
      <c r="AO78" s="5"/>
      <c r="AP78" s="48"/>
      <c r="AQ78" s="5"/>
      <c r="AR78" s="48"/>
      <c r="AS78" s="5"/>
      <c r="AT78" s="48"/>
      <c r="AU78" s="5"/>
      <c r="AV78" s="65"/>
      <c r="AW78" s="5"/>
      <c r="AX78" s="48"/>
      <c r="AY78" s="5"/>
      <c r="AZ78" s="48"/>
      <c r="BA78" s="5"/>
      <c r="BB78" s="48">
        <v>1</v>
      </c>
      <c r="BC78" s="5">
        <v>2000</v>
      </c>
      <c r="BD78" s="48"/>
      <c r="BE78" s="5"/>
      <c r="BF78" s="48"/>
      <c r="BG78" s="5"/>
      <c r="BH78" s="48"/>
      <c r="BI78" s="5"/>
      <c r="BJ78" s="48"/>
      <c r="BK78" s="5"/>
      <c r="BL78" s="48"/>
      <c r="BM78" s="5"/>
      <c r="BN78" s="65"/>
      <c r="BO78" s="5"/>
      <c r="BP78" s="128"/>
      <c r="BQ78" s="5"/>
      <c r="BR78" s="4"/>
      <c r="BS78" s="4"/>
      <c r="BT78" s="48">
        <v>1</v>
      </c>
      <c r="BU78" s="86">
        <v>300</v>
      </c>
      <c r="BV78" s="48"/>
      <c r="BW78" s="5"/>
      <c r="BX78" s="74"/>
      <c r="BY78" s="5"/>
      <c r="BZ78" s="48"/>
      <c r="CA78" s="5"/>
      <c r="CB78" s="48"/>
      <c r="CC78" s="5"/>
      <c r="CD78" s="4"/>
      <c r="CE78" s="5"/>
      <c r="CF78" s="48"/>
      <c r="CG78" s="5"/>
      <c r="CH78" s="48"/>
      <c r="CI78" s="5"/>
      <c r="CJ78" s="48"/>
      <c r="CK78" s="5"/>
      <c r="CL78" s="74"/>
      <c r="CM78" s="5"/>
      <c r="CN78" s="74"/>
      <c r="CO78" s="5"/>
      <c r="CP78" s="48"/>
      <c r="CQ78" s="5"/>
      <c r="CR78" s="48"/>
      <c r="CS78" s="5"/>
      <c r="CT78" s="48"/>
      <c r="CU78" s="5"/>
      <c r="CV78" s="112">
        <f t="shared" si="37"/>
        <v>0</v>
      </c>
      <c r="CW78" s="86">
        <f t="shared" si="38"/>
        <v>0</v>
      </c>
      <c r="CX78" s="112"/>
      <c r="CY78" s="86"/>
      <c r="CZ78" s="4"/>
      <c r="DA78" s="5"/>
      <c r="DB78" s="112"/>
      <c r="DC78" s="86"/>
      <c r="DD78" s="6"/>
      <c r="DE78" s="7"/>
      <c r="DF78" s="51">
        <f t="shared" si="40"/>
        <v>2</v>
      </c>
      <c r="DG78" s="7">
        <f t="shared" si="41"/>
        <v>2300</v>
      </c>
      <c r="DH78" s="32">
        <f>DF78+19</f>
        <v>21</v>
      </c>
      <c r="DI78" s="33">
        <f>DG78+10119</f>
        <v>12419</v>
      </c>
      <c r="DJ78" s="142"/>
      <c r="DK78" s="142"/>
      <c r="DL78" s="36"/>
    </row>
    <row r="79" spans="1:116" hidden="1" x14ac:dyDescent="0.25">
      <c r="A79" s="4" t="s">
        <v>178</v>
      </c>
      <c r="B79" s="4"/>
      <c r="C79" s="5"/>
      <c r="D79" s="109"/>
      <c r="E79" s="5"/>
      <c r="F79" s="48"/>
      <c r="G79" s="5"/>
      <c r="H79" s="48"/>
      <c r="I79" s="5"/>
      <c r="J79" s="48"/>
      <c r="K79" s="5"/>
      <c r="L79" s="48"/>
      <c r="M79" s="5"/>
      <c r="N79" s="48"/>
      <c r="O79" s="5"/>
      <c r="P79" s="48"/>
      <c r="Q79" s="5"/>
      <c r="R79" s="48"/>
      <c r="S79" s="5"/>
      <c r="T79" s="65"/>
      <c r="U79" s="5"/>
      <c r="V79" s="41"/>
      <c r="W79" s="5"/>
      <c r="X79" s="41"/>
      <c r="Y79" s="5"/>
      <c r="Z79" s="48"/>
      <c r="AA79" s="5"/>
      <c r="AB79" s="48"/>
      <c r="AC79" s="5"/>
      <c r="AD79" s="74"/>
      <c r="AE79" s="5"/>
      <c r="AF79" s="48"/>
      <c r="AG79" s="5"/>
      <c r="AH79" s="48"/>
      <c r="AI79" s="5"/>
      <c r="AJ79" s="48"/>
      <c r="AK79" s="5"/>
      <c r="AL79" s="48"/>
      <c r="AM79" s="5"/>
      <c r="AN79" s="48"/>
      <c r="AO79" s="5"/>
      <c r="AP79" s="48"/>
      <c r="AQ79" s="5"/>
      <c r="AR79" s="48"/>
      <c r="AS79" s="5"/>
      <c r="AT79" s="48"/>
      <c r="AU79" s="5"/>
      <c r="AV79" s="65"/>
      <c r="AW79" s="5"/>
      <c r="AX79" s="48"/>
      <c r="AY79" s="5"/>
      <c r="AZ79" s="48"/>
      <c r="BA79" s="5"/>
      <c r="BB79" s="48"/>
      <c r="BC79" s="5"/>
      <c r="BD79" s="48"/>
      <c r="BE79" s="5"/>
      <c r="BF79" s="48"/>
      <c r="BG79" s="5"/>
      <c r="BH79" s="48"/>
      <c r="BI79" s="5"/>
      <c r="BJ79" s="48"/>
      <c r="BK79" s="5"/>
      <c r="BL79" s="48"/>
      <c r="BM79" s="5"/>
      <c r="BN79" s="65"/>
      <c r="BO79" s="5"/>
      <c r="BP79" s="128"/>
      <c r="BQ79" s="5"/>
      <c r="BR79" s="4"/>
      <c r="BS79" s="4"/>
      <c r="BT79" s="48"/>
      <c r="BU79" s="86"/>
      <c r="BV79" s="48"/>
      <c r="BW79" s="5"/>
      <c r="BX79" s="74"/>
      <c r="BY79" s="5"/>
      <c r="BZ79" s="48"/>
      <c r="CA79" s="5"/>
      <c r="CB79" s="48"/>
      <c r="CC79" s="5"/>
      <c r="CD79" s="4"/>
      <c r="CE79" s="5"/>
      <c r="CF79" s="48"/>
      <c r="CG79" s="5"/>
      <c r="CH79" s="48"/>
      <c r="CI79" s="5"/>
      <c r="CJ79" s="48"/>
      <c r="CK79" s="5"/>
      <c r="CL79" s="74"/>
      <c r="CM79" s="5"/>
      <c r="CN79" s="74"/>
      <c r="CO79" s="5"/>
      <c r="CP79" s="48"/>
      <c r="CQ79" s="5"/>
      <c r="CR79" s="48"/>
      <c r="CS79" s="5"/>
      <c r="CT79" s="48"/>
      <c r="CU79" s="5"/>
      <c r="CV79" s="112">
        <f t="shared" si="37"/>
        <v>0</v>
      </c>
      <c r="CW79" s="86">
        <f t="shared" si="38"/>
        <v>0</v>
      </c>
      <c r="CX79" s="112"/>
      <c r="CY79" s="86"/>
      <c r="CZ79" s="4"/>
      <c r="DA79" s="5"/>
      <c r="DB79" s="112"/>
      <c r="DC79" s="86"/>
      <c r="DD79" s="6"/>
      <c r="DE79" s="7"/>
      <c r="DF79" s="51">
        <f t="shared" si="40"/>
        <v>0</v>
      </c>
      <c r="DG79" s="7">
        <f t="shared" si="41"/>
        <v>0</v>
      </c>
      <c r="DH79" s="32"/>
      <c r="DI79" s="33"/>
      <c r="DJ79" s="142"/>
      <c r="DK79" s="142"/>
      <c r="DL79" s="36"/>
    </row>
    <row r="80" spans="1:116" ht="14.25" customHeight="1" x14ac:dyDescent="0.25">
      <c r="A80" s="4" t="s">
        <v>34</v>
      </c>
      <c r="B80" s="4">
        <v>2</v>
      </c>
      <c r="C80" s="5">
        <v>1000</v>
      </c>
      <c r="D80" s="109"/>
      <c r="E80" s="5"/>
      <c r="F80" s="48"/>
      <c r="G80" s="5"/>
      <c r="H80" s="48"/>
      <c r="I80" s="5"/>
      <c r="J80" s="48"/>
      <c r="K80" s="5"/>
      <c r="L80" s="48"/>
      <c r="M80" s="5"/>
      <c r="N80" s="48"/>
      <c r="O80" s="5"/>
      <c r="P80" s="48">
        <v>1</v>
      </c>
      <c r="Q80" s="5">
        <v>5000</v>
      </c>
      <c r="R80" s="48"/>
      <c r="S80" s="5"/>
      <c r="T80" s="65"/>
      <c r="U80" s="5"/>
      <c r="V80" s="41"/>
      <c r="W80" s="5"/>
      <c r="X80" s="41"/>
      <c r="Y80" s="5"/>
      <c r="Z80" s="48"/>
      <c r="AA80" s="5"/>
      <c r="AB80" s="48"/>
      <c r="AC80" s="5"/>
      <c r="AD80" s="74"/>
      <c r="AE80" s="5"/>
      <c r="AF80" s="48"/>
      <c r="AG80" s="5"/>
      <c r="AH80" s="48"/>
      <c r="AI80" s="5"/>
      <c r="AJ80" s="48"/>
      <c r="AK80" s="5"/>
      <c r="AL80" s="48"/>
      <c r="AM80" s="5"/>
      <c r="AN80" s="48"/>
      <c r="AO80" s="5"/>
      <c r="AP80" s="48"/>
      <c r="AQ80" s="5"/>
      <c r="AR80" s="48">
        <v>1</v>
      </c>
      <c r="AS80" s="5">
        <v>1000</v>
      </c>
      <c r="AT80" s="48"/>
      <c r="AU80" s="5"/>
      <c r="AV80" s="65"/>
      <c r="AW80" s="5"/>
      <c r="AX80" s="48"/>
      <c r="AY80" s="5"/>
      <c r="AZ80" s="48"/>
      <c r="BA80" s="5"/>
      <c r="BB80" s="48"/>
      <c r="BC80" s="5"/>
      <c r="BD80" s="48">
        <v>1</v>
      </c>
      <c r="BE80" s="5">
        <v>4000</v>
      </c>
      <c r="BF80" s="48"/>
      <c r="BG80" s="5"/>
      <c r="BH80" s="48"/>
      <c r="BI80" s="5"/>
      <c r="BJ80" s="48"/>
      <c r="BK80" s="5"/>
      <c r="BL80" s="48"/>
      <c r="BM80" s="5"/>
      <c r="BN80" s="65"/>
      <c r="BO80" s="5"/>
      <c r="BP80" s="128"/>
      <c r="BQ80" s="5"/>
      <c r="BR80" s="4"/>
      <c r="BS80" s="4"/>
      <c r="BT80" s="48"/>
      <c r="BU80" s="86"/>
      <c r="BV80" s="48"/>
      <c r="BW80" s="5"/>
      <c r="BX80" s="74"/>
      <c r="BY80" s="5"/>
      <c r="BZ80" s="48"/>
      <c r="CA80" s="5"/>
      <c r="CB80" s="48"/>
      <c r="CC80" s="5"/>
      <c r="CD80" s="4"/>
      <c r="CE80" s="5"/>
      <c r="CF80" s="48"/>
      <c r="CG80" s="5"/>
      <c r="CH80" s="48"/>
      <c r="CI80" s="5"/>
      <c r="CJ80" s="48"/>
      <c r="CK80" s="5"/>
      <c r="CL80" s="74"/>
      <c r="CM80" s="5"/>
      <c r="CN80" s="74">
        <v>1</v>
      </c>
      <c r="CO80" s="5">
        <v>400</v>
      </c>
      <c r="CP80" s="48"/>
      <c r="CQ80" s="5"/>
      <c r="CR80" s="48"/>
      <c r="CS80" s="5"/>
      <c r="CT80" s="48"/>
      <c r="CU80" s="5"/>
      <c r="CV80" s="112">
        <f t="shared" ref="CV80:CV118" si="42">CN80+CP80+CR80+CT80</f>
        <v>1</v>
      </c>
      <c r="CW80" s="86">
        <f t="shared" ref="CW80:CW118" si="43">CO80+CQ80+CS80+CU80</f>
        <v>400</v>
      </c>
      <c r="CX80" s="112"/>
      <c r="CY80" s="86"/>
      <c r="CZ80" s="4"/>
      <c r="DA80" s="5"/>
      <c r="DB80" s="112"/>
      <c r="DC80" s="86"/>
      <c r="DD80" s="6"/>
      <c r="DE80" s="7"/>
      <c r="DF80" s="51">
        <f t="shared" si="40"/>
        <v>6</v>
      </c>
      <c r="DG80" s="7">
        <f t="shared" si="41"/>
        <v>11400</v>
      </c>
      <c r="DH80" s="32">
        <f>DF80+24</f>
        <v>30</v>
      </c>
      <c r="DI80" s="33">
        <f>DG80+22119</f>
        <v>33519</v>
      </c>
      <c r="DJ80" s="142"/>
      <c r="DK80" s="142"/>
      <c r="DL80" s="36"/>
    </row>
    <row r="81" spans="1:116" ht="47.25" hidden="1" x14ac:dyDescent="0.25">
      <c r="A81" s="4" t="s">
        <v>213</v>
      </c>
      <c r="B81" s="4"/>
      <c r="C81" s="5"/>
      <c r="D81" s="109"/>
      <c r="E81" s="5"/>
      <c r="F81" s="48"/>
      <c r="G81" s="5"/>
      <c r="H81" s="48"/>
      <c r="I81" s="5"/>
      <c r="J81" s="48"/>
      <c r="K81" s="5"/>
      <c r="L81" s="48"/>
      <c r="M81" s="5"/>
      <c r="N81" s="48"/>
      <c r="O81" s="5"/>
      <c r="P81" s="48"/>
      <c r="Q81" s="5"/>
      <c r="R81" s="48"/>
      <c r="S81" s="5"/>
      <c r="T81" s="65"/>
      <c r="U81" s="5"/>
      <c r="V81" s="41"/>
      <c r="W81" s="5"/>
      <c r="X81" s="41"/>
      <c r="Y81" s="5"/>
      <c r="Z81" s="48"/>
      <c r="AA81" s="5"/>
      <c r="AB81" s="48"/>
      <c r="AC81" s="5"/>
      <c r="AD81" s="74"/>
      <c r="AE81" s="5"/>
      <c r="AF81" s="48"/>
      <c r="AG81" s="5"/>
      <c r="AH81" s="48"/>
      <c r="AI81" s="5"/>
      <c r="AJ81" s="48"/>
      <c r="AK81" s="5"/>
      <c r="AL81" s="48"/>
      <c r="AM81" s="5"/>
      <c r="AN81" s="48"/>
      <c r="AO81" s="5"/>
      <c r="AP81" s="48"/>
      <c r="AQ81" s="5"/>
      <c r="AR81" s="48"/>
      <c r="AS81" s="5"/>
      <c r="AT81" s="48"/>
      <c r="AU81" s="5"/>
      <c r="AV81" s="65"/>
      <c r="AW81" s="5"/>
      <c r="AX81" s="48"/>
      <c r="AY81" s="5"/>
      <c r="AZ81" s="48"/>
      <c r="BA81" s="5"/>
      <c r="BB81" s="48"/>
      <c r="BC81" s="5"/>
      <c r="BD81" s="48"/>
      <c r="BE81" s="5"/>
      <c r="BF81" s="48"/>
      <c r="BG81" s="5"/>
      <c r="BH81" s="48"/>
      <c r="BI81" s="5"/>
      <c r="BJ81" s="48"/>
      <c r="BK81" s="5"/>
      <c r="BL81" s="48"/>
      <c r="BM81" s="5"/>
      <c r="BN81" s="65"/>
      <c r="BO81" s="5"/>
      <c r="BP81" s="128"/>
      <c r="BQ81" s="5"/>
      <c r="BR81" s="4"/>
      <c r="BS81" s="4"/>
      <c r="BT81" s="48"/>
      <c r="BU81" s="86"/>
      <c r="BV81" s="48"/>
      <c r="BW81" s="5"/>
      <c r="BX81" s="74"/>
      <c r="BY81" s="5"/>
      <c r="BZ81" s="48"/>
      <c r="CA81" s="5"/>
      <c r="CB81" s="48"/>
      <c r="CC81" s="5"/>
      <c r="CD81" s="4"/>
      <c r="CE81" s="5"/>
      <c r="CF81" s="48"/>
      <c r="CG81" s="5"/>
      <c r="CH81" s="48"/>
      <c r="CI81" s="5"/>
      <c r="CJ81" s="48"/>
      <c r="CK81" s="5"/>
      <c r="CL81" s="74"/>
      <c r="CM81" s="5"/>
      <c r="CN81" s="74"/>
      <c r="CO81" s="5"/>
      <c r="CP81" s="48"/>
      <c r="CQ81" s="5"/>
      <c r="CR81" s="48"/>
      <c r="CS81" s="5"/>
      <c r="CT81" s="48"/>
      <c r="CU81" s="5"/>
      <c r="CV81" s="112">
        <f t="shared" si="42"/>
        <v>0</v>
      </c>
      <c r="CW81" s="86">
        <f t="shared" si="43"/>
        <v>0</v>
      </c>
      <c r="CX81" s="112"/>
      <c r="CY81" s="86"/>
      <c r="CZ81" s="4"/>
      <c r="DA81" s="5"/>
      <c r="DB81" s="112"/>
      <c r="DC81" s="86"/>
      <c r="DD81" s="6"/>
      <c r="DE81" s="7"/>
      <c r="DF81" s="51">
        <f t="shared" si="40"/>
        <v>0</v>
      </c>
      <c r="DG81" s="7">
        <f t="shared" si="41"/>
        <v>0</v>
      </c>
      <c r="DH81" s="32"/>
      <c r="DI81" s="33"/>
      <c r="DJ81" s="142"/>
      <c r="DK81" s="142"/>
      <c r="DL81" s="36"/>
    </row>
    <row r="82" spans="1:116" ht="13.5" customHeight="1" x14ac:dyDescent="0.25">
      <c r="A82" s="4" t="s">
        <v>35</v>
      </c>
      <c r="B82" s="4"/>
      <c r="C82" s="5"/>
      <c r="D82" s="109"/>
      <c r="E82" s="5"/>
      <c r="F82" s="48"/>
      <c r="G82" s="5"/>
      <c r="H82" s="48"/>
      <c r="I82" s="5"/>
      <c r="J82" s="48">
        <v>1</v>
      </c>
      <c r="K82" s="5">
        <v>4322</v>
      </c>
      <c r="L82" s="48"/>
      <c r="M82" s="5"/>
      <c r="N82" s="48"/>
      <c r="O82" s="5"/>
      <c r="P82" s="48">
        <v>1</v>
      </c>
      <c r="Q82" s="5">
        <v>3000</v>
      </c>
      <c r="R82" s="48"/>
      <c r="S82" s="5"/>
      <c r="T82" s="65"/>
      <c r="U82" s="5"/>
      <c r="V82" s="41">
        <v>2</v>
      </c>
      <c r="W82" s="5">
        <v>6250</v>
      </c>
      <c r="X82" s="41">
        <v>2</v>
      </c>
      <c r="Y82" s="5">
        <v>2500</v>
      </c>
      <c r="Z82" s="48">
        <v>1</v>
      </c>
      <c r="AA82" s="5">
        <v>5000</v>
      </c>
      <c r="AB82" s="48"/>
      <c r="AC82" s="5"/>
      <c r="AD82" s="74"/>
      <c r="AE82" s="5"/>
      <c r="AF82" s="48"/>
      <c r="AG82" s="5"/>
      <c r="AH82" s="48"/>
      <c r="AI82" s="5"/>
      <c r="AJ82" s="48"/>
      <c r="AK82" s="5"/>
      <c r="AL82" s="48">
        <v>1</v>
      </c>
      <c r="AM82" s="5">
        <v>900</v>
      </c>
      <c r="AN82" s="48"/>
      <c r="AO82" s="5"/>
      <c r="AP82" s="48">
        <v>1</v>
      </c>
      <c r="AQ82" s="5">
        <v>2000</v>
      </c>
      <c r="AR82" s="48"/>
      <c r="AS82" s="5"/>
      <c r="AT82" s="48"/>
      <c r="AU82" s="5"/>
      <c r="AV82" s="65"/>
      <c r="AW82" s="5"/>
      <c r="AX82" s="48"/>
      <c r="AY82" s="5"/>
      <c r="AZ82" s="48"/>
      <c r="BA82" s="5"/>
      <c r="BB82" s="48"/>
      <c r="BC82" s="5"/>
      <c r="BD82" s="48"/>
      <c r="BE82" s="5"/>
      <c r="BF82" s="48"/>
      <c r="BG82" s="5"/>
      <c r="BH82" s="48"/>
      <c r="BI82" s="5"/>
      <c r="BJ82" s="48"/>
      <c r="BK82" s="5"/>
      <c r="BL82" s="48"/>
      <c r="BM82" s="5"/>
      <c r="BN82" s="65"/>
      <c r="BO82" s="5"/>
      <c r="BP82" s="128"/>
      <c r="BQ82" s="5"/>
      <c r="BR82" s="4"/>
      <c r="BS82" s="4"/>
      <c r="BT82" s="48">
        <v>1</v>
      </c>
      <c r="BU82" s="86">
        <v>3000</v>
      </c>
      <c r="BV82" s="48"/>
      <c r="BW82" s="5"/>
      <c r="BX82" s="74"/>
      <c r="BY82" s="5"/>
      <c r="BZ82" s="48"/>
      <c r="CA82" s="5"/>
      <c r="CB82" s="48"/>
      <c r="CC82" s="5"/>
      <c r="CD82" s="4"/>
      <c r="CE82" s="5"/>
      <c r="CF82" s="48"/>
      <c r="CG82" s="5"/>
      <c r="CH82" s="48"/>
      <c r="CI82" s="5"/>
      <c r="CJ82" s="48"/>
      <c r="CK82" s="5"/>
      <c r="CL82" s="74"/>
      <c r="CM82" s="5"/>
      <c r="CN82" s="74"/>
      <c r="CO82" s="5"/>
      <c r="CP82" s="48">
        <v>1</v>
      </c>
      <c r="CQ82" s="5">
        <v>1000</v>
      </c>
      <c r="CR82" s="48"/>
      <c r="CS82" s="5"/>
      <c r="CT82" s="48"/>
      <c r="CU82" s="5"/>
      <c r="CV82" s="112">
        <f t="shared" si="42"/>
        <v>1</v>
      </c>
      <c r="CW82" s="86">
        <f t="shared" si="43"/>
        <v>1000</v>
      </c>
      <c r="CX82" s="112"/>
      <c r="CY82" s="86"/>
      <c r="CZ82" s="4"/>
      <c r="DA82" s="5"/>
      <c r="DB82" s="112"/>
      <c r="DC82" s="86"/>
      <c r="DD82" s="6"/>
      <c r="DE82" s="7"/>
      <c r="DF82" s="51">
        <f t="shared" si="40"/>
        <v>11</v>
      </c>
      <c r="DG82" s="7">
        <f t="shared" si="41"/>
        <v>27972</v>
      </c>
      <c r="DH82" s="32">
        <f>DF82+40</f>
        <v>51</v>
      </c>
      <c r="DI82" s="33">
        <f>DG82+67850</f>
        <v>95822</v>
      </c>
      <c r="DJ82" s="142"/>
      <c r="DK82" s="142"/>
      <c r="DL82" s="36"/>
    </row>
    <row r="83" spans="1:116" ht="78.75" hidden="1" x14ac:dyDescent="0.25">
      <c r="A83" s="113" t="s">
        <v>216</v>
      </c>
      <c r="B83" s="4"/>
      <c r="C83" s="5"/>
      <c r="D83" s="109"/>
      <c r="E83" s="5"/>
      <c r="F83" s="48"/>
      <c r="G83" s="5"/>
      <c r="H83" s="48"/>
      <c r="I83" s="5"/>
      <c r="J83" s="48"/>
      <c r="K83" s="5"/>
      <c r="L83" s="48"/>
      <c r="M83" s="5"/>
      <c r="N83" s="48"/>
      <c r="O83" s="5"/>
      <c r="P83" s="48"/>
      <c r="Q83" s="5"/>
      <c r="R83" s="48"/>
      <c r="S83" s="5"/>
      <c r="T83" s="65"/>
      <c r="U83" s="5"/>
      <c r="V83" s="41"/>
      <c r="W83" s="5"/>
      <c r="X83" s="41"/>
      <c r="Y83" s="5"/>
      <c r="Z83" s="48"/>
      <c r="AA83" s="5"/>
      <c r="AB83" s="48"/>
      <c r="AC83" s="5"/>
      <c r="AD83" s="74"/>
      <c r="AE83" s="5"/>
      <c r="AF83" s="48"/>
      <c r="AG83" s="5"/>
      <c r="AH83" s="48"/>
      <c r="AI83" s="5"/>
      <c r="AJ83" s="48"/>
      <c r="AK83" s="5"/>
      <c r="AL83" s="48"/>
      <c r="AM83" s="5"/>
      <c r="AN83" s="48"/>
      <c r="AO83" s="5"/>
      <c r="AP83" s="48"/>
      <c r="AQ83" s="5"/>
      <c r="AR83" s="48"/>
      <c r="AS83" s="5"/>
      <c r="AT83" s="48"/>
      <c r="AU83" s="5"/>
      <c r="AV83" s="65"/>
      <c r="AW83" s="5"/>
      <c r="AX83" s="48"/>
      <c r="AY83" s="5"/>
      <c r="AZ83" s="48"/>
      <c r="BA83" s="5"/>
      <c r="BB83" s="48"/>
      <c r="BC83" s="5"/>
      <c r="BD83" s="48"/>
      <c r="BE83" s="5"/>
      <c r="BF83" s="48"/>
      <c r="BG83" s="5"/>
      <c r="BH83" s="48"/>
      <c r="BI83" s="5"/>
      <c r="BJ83" s="48"/>
      <c r="BK83" s="5"/>
      <c r="BL83" s="48"/>
      <c r="BM83" s="5"/>
      <c r="BN83" s="65"/>
      <c r="BO83" s="5"/>
      <c r="BP83" s="128"/>
      <c r="BQ83" s="5"/>
      <c r="BR83" s="4"/>
      <c r="BS83" s="4"/>
      <c r="BT83" s="48"/>
      <c r="BU83" s="86"/>
      <c r="BV83" s="48"/>
      <c r="BW83" s="5"/>
      <c r="BX83" s="74"/>
      <c r="BY83" s="5"/>
      <c r="BZ83" s="48"/>
      <c r="CA83" s="5"/>
      <c r="CB83" s="48"/>
      <c r="CC83" s="5"/>
      <c r="CD83" s="4"/>
      <c r="CE83" s="5"/>
      <c r="CF83" s="48"/>
      <c r="CG83" s="5"/>
      <c r="CH83" s="48"/>
      <c r="CI83" s="5"/>
      <c r="CJ83" s="48"/>
      <c r="CK83" s="5"/>
      <c r="CL83" s="74"/>
      <c r="CM83" s="5"/>
      <c r="CN83" s="74"/>
      <c r="CO83" s="5"/>
      <c r="CP83" s="48"/>
      <c r="CQ83" s="5"/>
      <c r="CR83" s="48"/>
      <c r="CS83" s="5"/>
      <c r="CT83" s="48"/>
      <c r="CU83" s="5"/>
      <c r="CV83" s="112">
        <f t="shared" si="42"/>
        <v>0</v>
      </c>
      <c r="CW83" s="86">
        <f t="shared" si="43"/>
        <v>0</v>
      </c>
      <c r="CX83" s="112"/>
      <c r="CY83" s="86"/>
      <c r="CZ83" s="4"/>
      <c r="DA83" s="5"/>
      <c r="DB83" s="112"/>
      <c r="DC83" s="86"/>
      <c r="DD83" s="6"/>
      <c r="DE83" s="7"/>
      <c r="DF83" s="51">
        <f t="shared" si="40"/>
        <v>0</v>
      </c>
      <c r="DG83" s="7">
        <f t="shared" si="41"/>
        <v>0</v>
      </c>
      <c r="DH83" s="32"/>
      <c r="DI83" s="33"/>
      <c r="DJ83" s="142"/>
      <c r="DK83" s="142"/>
      <c r="DL83" s="36"/>
    </row>
    <row r="84" spans="1:116" ht="15" customHeight="1" x14ac:dyDescent="0.25">
      <c r="A84" s="4" t="s">
        <v>36</v>
      </c>
      <c r="B84" s="4"/>
      <c r="C84" s="5"/>
      <c r="D84" s="109"/>
      <c r="E84" s="5"/>
      <c r="F84" s="48"/>
      <c r="G84" s="5"/>
      <c r="H84" s="48"/>
      <c r="I84" s="5"/>
      <c r="J84" s="48"/>
      <c r="K84" s="5"/>
      <c r="L84" s="60"/>
      <c r="M84" s="61"/>
      <c r="N84" s="48"/>
      <c r="O84" s="5"/>
      <c r="P84" s="48"/>
      <c r="Q84" s="5"/>
      <c r="R84" s="48"/>
      <c r="S84" s="5"/>
      <c r="T84" s="65"/>
      <c r="U84" s="5"/>
      <c r="V84" s="41">
        <v>1</v>
      </c>
      <c r="W84" s="5">
        <v>1500</v>
      </c>
      <c r="X84" s="41"/>
      <c r="Y84" s="5"/>
      <c r="Z84" s="48"/>
      <c r="AA84" s="5"/>
      <c r="AB84" s="48"/>
      <c r="AC84" s="5"/>
      <c r="AD84" s="74"/>
      <c r="AE84" s="5"/>
      <c r="AF84" s="48"/>
      <c r="AG84" s="5"/>
      <c r="AH84" s="48">
        <v>1</v>
      </c>
      <c r="AI84" s="5">
        <v>1000</v>
      </c>
      <c r="AJ84" s="48"/>
      <c r="AK84" s="5"/>
      <c r="AL84" s="48"/>
      <c r="AM84" s="5"/>
      <c r="AN84" s="48">
        <v>1</v>
      </c>
      <c r="AO84" s="5">
        <v>1000</v>
      </c>
      <c r="AP84" s="48"/>
      <c r="AQ84" s="5"/>
      <c r="AR84" s="48"/>
      <c r="AS84" s="5"/>
      <c r="AT84" s="48"/>
      <c r="AU84" s="5"/>
      <c r="AV84" s="65"/>
      <c r="AW84" s="5"/>
      <c r="AX84" s="48"/>
      <c r="AY84" s="5"/>
      <c r="AZ84" s="48"/>
      <c r="BA84" s="5"/>
      <c r="BB84" s="48"/>
      <c r="BC84" s="5"/>
      <c r="BD84" s="48">
        <v>1</v>
      </c>
      <c r="BE84" s="5">
        <v>500</v>
      </c>
      <c r="BF84" s="48"/>
      <c r="BG84" s="5"/>
      <c r="BH84" s="48"/>
      <c r="BI84" s="5"/>
      <c r="BJ84" s="48"/>
      <c r="BK84" s="5"/>
      <c r="BL84" s="48"/>
      <c r="BM84" s="5"/>
      <c r="BN84" s="65"/>
      <c r="BO84" s="5"/>
      <c r="BP84" s="127"/>
      <c r="BQ84" s="5"/>
      <c r="BR84" s="4"/>
      <c r="BS84" s="4"/>
      <c r="BT84" s="48"/>
      <c r="BU84" s="86"/>
      <c r="BV84" s="48"/>
      <c r="BW84" s="5"/>
      <c r="BX84" s="74"/>
      <c r="BY84" s="5"/>
      <c r="BZ84" s="48"/>
      <c r="CA84" s="5"/>
      <c r="CB84" s="48"/>
      <c r="CC84" s="5"/>
      <c r="CD84" s="4">
        <v>1</v>
      </c>
      <c r="CE84" s="5">
        <v>200</v>
      </c>
      <c r="CF84" s="48"/>
      <c r="CG84" s="5"/>
      <c r="CH84" s="48"/>
      <c r="CI84" s="5"/>
      <c r="CJ84" s="48"/>
      <c r="CK84" s="5"/>
      <c r="CL84" s="74"/>
      <c r="CM84" s="5"/>
      <c r="CN84" s="74"/>
      <c r="CO84" s="5"/>
      <c r="CP84" s="48"/>
      <c r="CQ84" s="5"/>
      <c r="CR84" s="48"/>
      <c r="CS84" s="5"/>
      <c r="CT84" s="48"/>
      <c r="CU84" s="5"/>
      <c r="CV84" s="112">
        <f t="shared" si="42"/>
        <v>0</v>
      </c>
      <c r="CW84" s="86">
        <f t="shared" si="43"/>
        <v>0</v>
      </c>
      <c r="CX84" s="112"/>
      <c r="CY84" s="86"/>
      <c r="CZ84" s="4"/>
      <c r="DA84" s="5"/>
      <c r="DB84" s="112"/>
      <c r="DC84" s="86"/>
      <c r="DD84" s="6"/>
      <c r="DE84" s="7"/>
      <c r="DF84" s="51">
        <f t="shared" si="40"/>
        <v>5</v>
      </c>
      <c r="DG84" s="7">
        <f t="shared" si="41"/>
        <v>4200</v>
      </c>
      <c r="DH84" s="32">
        <f>DF84+19</f>
        <v>24</v>
      </c>
      <c r="DI84" s="33">
        <f>DG84+16900</f>
        <v>21100</v>
      </c>
      <c r="DJ84" s="142"/>
      <c r="DK84" s="142"/>
      <c r="DL84" s="36"/>
    </row>
    <row r="85" spans="1:116" ht="47.25" hidden="1" x14ac:dyDescent="0.25">
      <c r="A85" s="4" t="s">
        <v>193</v>
      </c>
      <c r="B85" s="4"/>
      <c r="C85" s="5"/>
      <c r="D85" s="109"/>
      <c r="E85" s="5"/>
      <c r="F85" s="48"/>
      <c r="G85" s="5"/>
      <c r="H85" s="48"/>
      <c r="I85" s="5"/>
      <c r="J85" s="48"/>
      <c r="K85" s="5"/>
      <c r="L85" s="48"/>
      <c r="M85" s="5"/>
      <c r="N85" s="48"/>
      <c r="O85" s="5"/>
      <c r="P85" s="48"/>
      <c r="Q85" s="5"/>
      <c r="R85" s="48"/>
      <c r="S85" s="5"/>
      <c r="T85" s="65"/>
      <c r="U85" s="5"/>
      <c r="V85" s="41"/>
      <c r="W85" s="5"/>
      <c r="X85" s="41"/>
      <c r="Y85" s="5"/>
      <c r="Z85" s="48"/>
      <c r="AA85" s="5"/>
      <c r="AB85" s="48"/>
      <c r="AC85" s="5"/>
      <c r="AD85" s="74"/>
      <c r="AE85" s="5"/>
      <c r="AF85" s="48"/>
      <c r="AG85" s="5"/>
      <c r="AH85" s="48"/>
      <c r="AI85" s="5"/>
      <c r="AJ85" s="48"/>
      <c r="AK85" s="5"/>
      <c r="AL85" s="48"/>
      <c r="AM85" s="5"/>
      <c r="AN85" s="48"/>
      <c r="AO85" s="5"/>
      <c r="AP85" s="48"/>
      <c r="AQ85" s="5"/>
      <c r="AR85" s="48"/>
      <c r="AS85" s="5"/>
      <c r="AT85" s="48"/>
      <c r="AU85" s="5"/>
      <c r="AV85" s="65"/>
      <c r="AW85" s="5"/>
      <c r="AX85" s="48"/>
      <c r="AY85" s="5"/>
      <c r="AZ85" s="48"/>
      <c r="BA85" s="5"/>
      <c r="BB85" s="48"/>
      <c r="BC85" s="5"/>
      <c r="BD85" s="48"/>
      <c r="BE85" s="5"/>
      <c r="BF85" s="48"/>
      <c r="BG85" s="5"/>
      <c r="BH85" s="48"/>
      <c r="BI85" s="5"/>
      <c r="BJ85" s="48"/>
      <c r="BK85" s="5"/>
      <c r="BL85" s="48"/>
      <c r="BM85" s="5"/>
      <c r="BN85" s="65"/>
      <c r="BO85" s="5"/>
      <c r="BP85" s="128"/>
      <c r="BQ85" s="5"/>
      <c r="BR85" s="4"/>
      <c r="BS85" s="4"/>
      <c r="BT85" s="48"/>
      <c r="BU85" s="86"/>
      <c r="BV85" s="48"/>
      <c r="BW85" s="5"/>
      <c r="BX85" s="74"/>
      <c r="BY85" s="5"/>
      <c r="BZ85" s="48"/>
      <c r="CA85" s="5"/>
      <c r="CB85" s="48"/>
      <c r="CC85" s="5"/>
      <c r="CD85" s="4"/>
      <c r="CE85" s="5"/>
      <c r="CF85" s="48"/>
      <c r="CG85" s="5"/>
      <c r="CH85" s="48"/>
      <c r="CI85" s="5"/>
      <c r="CJ85" s="48"/>
      <c r="CK85" s="5"/>
      <c r="CL85" s="74"/>
      <c r="CM85" s="5"/>
      <c r="CN85" s="74"/>
      <c r="CO85" s="5"/>
      <c r="CP85" s="48"/>
      <c r="CQ85" s="5"/>
      <c r="CR85" s="48"/>
      <c r="CS85" s="5"/>
      <c r="CT85" s="48"/>
      <c r="CU85" s="5"/>
      <c r="CV85" s="112">
        <f t="shared" si="42"/>
        <v>0</v>
      </c>
      <c r="CW85" s="86">
        <f t="shared" si="43"/>
        <v>0</v>
      </c>
      <c r="CX85" s="112"/>
      <c r="CY85" s="86"/>
      <c r="CZ85" s="4"/>
      <c r="DA85" s="5"/>
      <c r="DB85" s="112"/>
      <c r="DC85" s="86"/>
      <c r="DD85" s="6"/>
      <c r="DE85" s="7"/>
      <c r="DF85" s="51">
        <f t="shared" si="40"/>
        <v>0</v>
      </c>
      <c r="DG85" s="7">
        <f t="shared" si="41"/>
        <v>0</v>
      </c>
      <c r="DH85" s="32"/>
      <c r="DI85" s="33"/>
      <c r="DJ85" s="142"/>
      <c r="DK85" s="142"/>
      <c r="DL85" s="36"/>
    </row>
    <row r="86" spans="1:116" ht="14.25" customHeight="1" x14ac:dyDescent="0.25">
      <c r="A86" s="4" t="s">
        <v>37</v>
      </c>
      <c r="B86" s="4"/>
      <c r="C86" s="5"/>
      <c r="D86" s="109"/>
      <c r="E86" s="5"/>
      <c r="F86" s="48"/>
      <c r="G86" s="5"/>
      <c r="H86" s="48"/>
      <c r="I86" s="5"/>
      <c r="J86" s="48"/>
      <c r="K86" s="5"/>
      <c r="L86" s="48"/>
      <c r="M86" s="5"/>
      <c r="N86" s="48"/>
      <c r="O86" s="5"/>
      <c r="P86" s="48"/>
      <c r="Q86" s="5"/>
      <c r="R86" s="48"/>
      <c r="S86" s="5"/>
      <c r="T86" s="65"/>
      <c r="U86" s="5"/>
      <c r="V86" s="41"/>
      <c r="W86" s="5"/>
      <c r="X86" s="41"/>
      <c r="Y86" s="5"/>
      <c r="Z86" s="48"/>
      <c r="AA86" s="5"/>
      <c r="AB86" s="48"/>
      <c r="AC86" s="5"/>
      <c r="AD86" s="77">
        <v>1</v>
      </c>
      <c r="AE86" s="78">
        <v>2000</v>
      </c>
      <c r="AF86" s="48"/>
      <c r="AG86" s="5"/>
      <c r="AH86" s="48"/>
      <c r="AI86" s="5"/>
      <c r="AJ86" s="48"/>
      <c r="AK86" s="5"/>
      <c r="AL86" s="48"/>
      <c r="AM86" s="5"/>
      <c r="AN86" s="48"/>
      <c r="AO86" s="5"/>
      <c r="AP86" s="48"/>
      <c r="AQ86" s="5"/>
      <c r="AR86" s="48"/>
      <c r="AS86" s="5"/>
      <c r="AT86" s="48"/>
      <c r="AU86" s="5"/>
      <c r="AV86" s="65"/>
      <c r="AW86" s="5"/>
      <c r="AX86" s="48"/>
      <c r="AY86" s="5"/>
      <c r="AZ86" s="48"/>
      <c r="BA86" s="5"/>
      <c r="BB86" s="48"/>
      <c r="BC86" s="5"/>
      <c r="BD86" s="48"/>
      <c r="BE86" s="5"/>
      <c r="BF86" s="48"/>
      <c r="BG86" s="5"/>
      <c r="BH86" s="48"/>
      <c r="BI86" s="5"/>
      <c r="BJ86" s="48"/>
      <c r="BK86" s="5"/>
      <c r="BL86" s="48"/>
      <c r="BM86" s="5"/>
      <c r="BN86" s="65"/>
      <c r="BO86" s="5"/>
      <c r="BP86" s="128"/>
      <c r="BQ86" s="5"/>
      <c r="BR86" s="4"/>
      <c r="BS86" s="134"/>
      <c r="BT86" s="48"/>
      <c r="BU86" s="86"/>
      <c r="BV86" s="48"/>
      <c r="BW86" s="5"/>
      <c r="BX86" s="74"/>
      <c r="BY86" s="5"/>
      <c r="BZ86" s="48"/>
      <c r="CA86" s="5"/>
      <c r="CB86" s="48"/>
      <c r="CC86" s="5"/>
      <c r="CD86" s="4"/>
      <c r="CE86" s="5"/>
      <c r="CF86" s="48"/>
      <c r="CG86" s="5"/>
      <c r="CH86" s="48"/>
      <c r="CI86" s="5"/>
      <c r="CJ86" s="48"/>
      <c r="CK86" s="5"/>
      <c r="CL86" s="74"/>
      <c r="CM86" s="5"/>
      <c r="CN86" s="74"/>
      <c r="CO86" s="5"/>
      <c r="CP86" s="48"/>
      <c r="CQ86" s="5"/>
      <c r="CR86" s="48"/>
      <c r="CS86" s="5"/>
      <c r="CT86" s="48"/>
      <c r="CU86" s="5"/>
      <c r="CV86" s="112">
        <f t="shared" si="42"/>
        <v>0</v>
      </c>
      <c r="CW86" s="86">
        <f t="shared" si="43"/>
        <v>0</v>
      </c>
      <c r="CX86" s="112"/>
      <c r="CY86" s="86"/>
      <c r="CZ86" s="4"/>
      <c r="DA86" s="5"/>
      <c r="DB86" s="112"/>
      <c r="DC86" s="86"/>
      <c r="DD86" s="6"/>
      <c r="DE86" s="7"/>
      <c r="DF86" s="51">
        <f t="shared" si="40"/>
        <v>1</v>
      </c>
      <c r="DG86" s="7">
        <f t="shared" si="41"/>
        <v>2000</v>
      </c>
      <c r="DH86" s="32">
        <f>DF86+52</f>
        <v>53</v>
      </c>
      <c r="DI86" s="33">
        <f>DG86+43038</f>
        <v>45038</v>
      </c>
      <c r="DJ86" s="142"/>
      <c r="DK86" s="142"/>
      <c r="DL86" s="36"/>
    </row>
    <row r="87" spans="1:116" hidden="1" x14ac:dyDescent="0.25">
      <c r="A87" s="4" t="s">
        <v>120</v>
      </c>
      <c r="B87" s="4"/>
      <c r="C87" s="5"/>
      <c r="D87" s="109"/>
      <c r="E87" s="5"/>
      <c r="F87" s="48"/>
      <c r="G87" s="5"/>
      <c r="H87" s="48"/>
      <c r="I87" s="5"/>
      <c r="J87" s="48"/>
      <c r="K87" s="5"/>
      <c r="L87" s="48"/>
      <c r="M87" s="5"/>
      <c r="N87" s="48"/>
      <c r="O87" s="5"/>
      <c r="P87" s="48"/>
      <c r="Q87" s="5"/>
      <c r="R87" s="48"/>
      <c r="S87" s="5"/>
      <c r="T87" s="65"/>
      <c r="U87" s="5"/>
      <c r="V87" s="41"/>
      <c r="W87" s="5"/>
      <c r="X87" s="41"/>
      <c r="Y87" s="5"/>
      <c r="Z87" s="48"/>
      <c r="AA87" s="5"/>
      <c r="AB87" s="48"/>
      <c r="AC87" s="5"/>
      <c r="AD87" s="74"/>
      <c r="AE87" s="5"/>
      <c r="AF87" s="48"/>
      <c r="AG87" s="5"/>
      <c r="AH87" s="48"/>
      <c r="AI87" s="5"/>
      <c r="AJ87" s="48"/>
      <c r="AK87" s="5"/>
      <c r="AL87" s="48"/>
      <c r="AM87" s="5"/>
      <c r="AN87" s="48"/>
      <c r="AO87" s="5"/>
      <c r="AP87" s="48"/>
      <c r="AQ87" s="5"/>
      <c r="AR87" s="48"/>
      <c r="AS87" s="5"/>
      <c r="AT87" s="48"/>
      <c r="AU87" s="5"/>
      <c r="AV87" s="65"/>
      <c r="AW87" s="5"/>
      <c r="AX87" s="48"/>
      <c r="AY87" s="5"/>
      <c r="AZ87" s="48"/>
      <c r="BA87" s="5"/>
      <c r="BB87" s="48"/>
      <c r="BC87" s="5"/>
      <c r="BD87" s="48"/>
      <c r="BE87" s="5"/>
      <c r="BF87" s="48"/>
      <c r="BG87" s="5"/>
      <c r="BH87" s="48"/>
      <c r="BI87" s="5"/>
      <c r="BJ87" s="48"/>
      <c r="BK87" s="5"/>
      <c r="BL87" s="48"/>
      <c r="BM87" s="5"/>
      <c r="BN87" s="65"/>
      <c r="BO87" s="5"/>
      <c r="BP87" s="128"/>
      <c r="BQ87" s="5"/>
      <c r="BR87" s="4"/>
      <c r="BS87" s="134"/>
      <c r="BT87" s="48"/>
      <c r="BU87" s="86"/>
      <c r="BV87" s="48"/>
      <c r="BW87" s="5"/>
      <c r="BX87" s="74"/>
      <c r="BY87" s="5"/>
      <c r="BZ87" s="48"/>
      <c r="CA87" s="5"/>
      <c r="CB87" s="48"/>
      <c r="CC87" s="5"/>
      <c r="CD87" s="4"/>
      <c r="CE87" s="5"/>
      <c r="CF87" s="48"/>
      <c r="CG87" s="5"/>
      <c r="CH87" s="48"/>
      <c r="CI87" s="5"/>
      <c r="CJ87" s="48"/>
      <c r="CK87" s="5"/>
      <c r="CL87" s="74"/>
      <c r="CM87" s="5"/>
      <c r="CN87" s="74"/>
      <c r="CO87" s="5"/>
      <c r="CP87" s="48"/>
      <c r="CQ87" s="5"/>
      <c r="CR87" s="48"/>
      <c r="CS87" s="5"/>
      <c r="CT87" s="48"/>
      <c r="CU87" s="5"/>
      <c r="CV87" s="112">
        <f t="shared" si="42"/>
        <v>0</v>
      </c>
      <c r="CW87" s="86">
        <f t="shared" si="43"/>
        <v>0</v>
      </c>
      <c r="CX87" s="112"/>
      <c r="CY87" s="86"/>
      <c r="CZ87" s="4"/>
      <c r="DA87" s="5"/>
      <c r="DB87" s="112"/>
      <c r="DC87" s="86"/>
      <c r="DD87" s="6"/>
      <c r="DE87" s="7"/>
      <c r="DF87" s="51">
        <f t="shared" si="40"/>
        <v>0</v>
      </c>
      <c r="DG87" s="7">
        <f t="shared" si="41"/>
        <v>0</v>
      </c>
      <c r="DH87" s="32"/>
      <c r="DI87" s="33"/>
      <c r="DJ87" s="142"/>
      <c r="DK87" s="142"/>
      <c r="DL87" s="36"/>
    </row>
    <row r="88" spans="1:116" ht="13.5" customHeight="1" x14ac:dyDescent="0.25">
      <c r="A88" s="4" t="s">
        <v>38</v>
      </c>
      <c r="B88" s="4"/>
      <c r="C88" s="5"/>
      <c r="D88" s="109"/>
      <c r="E88" s="5"/>
      <c r="F88" s="48"/>
      <c r="G88" s="5"/>
      <c r="H88" s="48"/>
      <c r="I88" s="5"/>
      <c r="J88" s="48"/>
      <c r="K88" s="5"/>
      <c r="L88" s="48"/>
      <c r="M88" s="5"/>
      <c r="N88" s="48"/>
      <c r="O88" s="5"/>
      <c r="P88" s="48"/>
      <c r="Q88" s="5"/>
      <c r="R88" s="48"/>
      <c r="S88" s="5"/>
      <c r="T88" s="65"/>
      <c r="U88" s="5"/>
      <c r="V88" s="41">
        <v>1</v>
      </c>
      <c r="W88" s="5">
        <v>3800</v>
      </c>
      <c r="X88" s="41">
        <v>1</v>
      </c>
      <c r="Y88" s="5">
        <v>3500</v>
      </c>
      <c r="Z88" s="48">
        <v>1</v>
      </c>
      <c r="AA88" s="5">
        <v>500</v>
      </c>
      <c r="AB88" s="48"/>
      <c r="AC88" s="5"/>
      <c r="AD88" s="74"/>
      <c r="AE88" s="5"/>
      <c r="AF88" s="48">
        <v>1</v>
      </c>
      <c r="AG88" s="5">
        <v>500</v>
      </c>
      <c r="AH88" s="48">
        <v>1</v>
      </c>
      <c r="AI88" s="5">
        <v>4000</v>
      </c>
      <c r="AJ88" s="48"/>
      <c r="AK88" s="5"/>
      <c r="AL88" s="48"/>
      <c r="AM88" s="5"/>
      <c r="AN88" s="48"/>
      <c r="AO88" s="5"/>
      <c r="AP88" s="48"/>
      <c r="AQ88" s="5"/>
      <c r="AR88" s="48">
        <v>1</v>
      </c>
      <c r="AS88" s="5">
        <v>500</v>
      </c>
      <c r="AT88" s="48"/>
      <c r="AU88" s="5"/>
      <c r="AV88" s="65">
        <v>1</v>
      </c>
      <c r="AW88" s="5">
        <v>4000</v>
      </c>
      <c r="AX88" s="48"/>
      <c r="AY88" s="5"/>
      <c r="AZ88" s="48"/>
      <c r="BA88" s="5"/>
      <c r="BB88" s="48"/>
      <c r="BC88" s="5"/>
      <c r="BD88" s="48">
        <v>1</v>
      </c>
      <c r="BE88" s="5">
        <v>3500</v>
      </c>
      <c r="BF88" s="48">
        <v>1</v>
      </c>
      <c r="BG88" s="5">
        <v>1100</v>
      </c>
      <c r="BH88" s="48"/>
      <c r="BI88" s="5"/>
      <c r="BJ88" s="48"/>
      <c r="BK88" s="5"/>
      <c r="BL88" s="48">
        <v>1</v>
      </c>
      <c r="BM88" s="5">
        <v>700</v>
      </c>
      <c r="BN88" s="65">
        <v>1</v>
      </c>
      <c r="BO88" s="5">
        <v>1000</v>
      </c>
      <c r="BP88" s="128"/>
      <c r="BQ88" s="5"/>
      <c r="BR88" s="4"/>
      <c r="BS88" s="134"/>
      <c r="BT88" s="48"/>
      <c r="BU88" s="86"/>
      <c r="BV88" s="48"/>
      <c r="BW88" s="5"/>
      <c r="BX88" s="74"/>
      <c r="BY88" s="5"/>
      <c r="BZ88" s="48"/>
      <c r="CA88" s="5"/>
      <c r="CB88" s="48"/>
      <c r="CC88" s="5"/>
      <c r="CD88" s="4"/>
      <c r="CE88" s="5"/>
      <c r="CF88" s="48"/>
      <c r="CG88" s="5"/>
      <c r="CH88" s="48"/>
      <c r="CI88" s="5"/>
      <c r="CJ88" s="48"/>
      <c r="CK88" s="5"/>
      <c r="CL88" s="74"/>
      <c r="CM88" s="5"/>
      <c r="CN88" s="74"/>
      <c r="CO88" s="5"/>
      <c r="CP88" s="48"/>
      <c r="CQ88" s="5"/>
      <c r="CR88" s="48"/>
      <c r="CS88" s="5"/>
      <c r="CT88" s="48"/>
      <c r="CU88" s="5"/>
      <c r="CV88" s="112">
        <f t="shared" si="42"/>
        <v>0</v>
      </c>
      <c r="CW88" s="86">
        <f t="shared" si="43"/>
        <v>0</v>
      </c>
      <c r="CX88" s="112"/>
      <c r="CY88" s="86"/>
      <c r="CZ88" s="4"/>
      <c r="DA88" s="5"/>
      <c r="DB88" s="112"/>
      <c r="DC88" s="86"/>
      <c r="DD88" s="6"/>
      <c r="DE88" s="7"/>
      <c r="DF88" s="51">
        <f t="shared" si="40"/>
        <v>11</v>
      </c>
      <c r="DG88" s="7">
        <f t="shared" si="41"/>
        <v>23100</v>
      </c>
      <c r="DH88" s="32">
        <f>DF88+61</f>
        <v>72</v>
      </c>
      <c r="DI88" s="33">
        <f>DG88+72875</f>
        <v>95975</v>
      </c>
      <c r="DJ88" s="142"/>
      <c r="DK88" s="142"/>
      <c r="DL88" s="36"/>
    </row>
    <row r="89" spans="1:116" ht="78.75" hidden="1" x14ac:dyDescent="0.25">
      <c r="A89" s="4" t="s">
        <v>171</v>
      </c>
      <c r="B89" s="4"/>
      <c r="C89" s="5"/>
      <c r="D89" s="109"/>
      <c r="E89" s="5"/>
      <c r="F89" s="48"/>
      <c r="G89" s="5"/>
      <c r="H89" s="48"/>
      <c r="I89" s="5"/>
      <c r="J89" s="48"/>
      <c r="K89" s="5"/>
      <c r="L89" s="48"/>
      <c r="M89" s="5"/>
      <c r="N89" s="48"/>
      <c r="O89" s="5"/>
      <c r="P89" s="48"/>
      <c r="Q89" s="5"/>
      <c r="R89" s="48"/>
      <c r="S89" s="5"/>
      <c r="T89" s="65"/>
      <c r="U89" s="5"/>
      <c r="V89" s="41"/>
      <c r="W89" s="5"/>
      <c r="X89" s="41"/>
      <c r="Y89" s="5"/>
      <c r="Z89" s="48"/>
      <c r="AA89" s="5"/>
      <c r="AB89" s="48"/>
      <c r="AC89" s="5"/>
      <c r="AD89" s="74"/>
      <c r="AE89" s="5"/>
      <c r="AF89" s="48"/>
      <c r="AG89" s="5"/>
      <c r="AH89" s="48"/>
      <c r="AI89" s="5"/>
      <c r="AJ89" s="48"/>
      <c r="AK89" s="5"/>
      <c r="AL89" s="48"/>
      <c r="AM89" s="5"/>
      <c r="AN89" s="48"/>
      <c r="AO89" s="5"/>
      <c r="AP89" s="48"/>
      <c r="AQ89" s="5"/>
      <c r="AR89" s="48"/>
      <c r="AS89" s="5"/>
      <c r="AT89" s="48"/>
      <c r="AU89" s="5"/>
      <c r="AV89" s="65"/>
      <c r="AW89" s="5"/>
      <c r="AX89" s="48"/>
      <c r="AY89" s="5"/>
      <c r="AZ89" s="48"/>
      <c r="BA89" s="5"/>
      <c r="BB89" s="48"/>
      <c r="BC89" s="5"/>
      <c r="BD89" s="48"/>
      <c r="BE89" s="5"/>
      <c r="BF89" s="48"/>
      <c r="BG89" s="5"/>
      <c r="BH89" s="48"/>
      <c r="BI89" s="5"/>
      <c r="BJ89" s="48"/>
      <c r="BK89" s="5"/>
      <c r="BL89" s="48"/>
      <c r="BM89" s="5"/>
      <c r="BN89" s="65"/>
      <c r="BO89" s="5"/>
      <c r="BP89" s="128"/>
      <c r="BQ89" s="5"/>
      <c r="BR89" s="4"/>
      <c r="BS89" s="134"/>
      <c r="BT89" s="48"/>
      <c r="BU89" s="86"/>
      <c r="BV89" s="48"/>
      <c r="BW89" s="5"/>
      <c r="BX89" s="74"/>
      <c r="BY89" s="5"/>
      <c r="BZ89" s="48"/>
      <c r="CA89" s="5"/>
      <c r="CB89" s="48"/>
      <c r="CC89" s="5"/>
      <c r="CD89" s="4"/>
      <c r="CE89" s="5"/>
      <c r="CF89" s="48"/>
      <c r="CG89" s="5"/>
      <c r="CH89" s="48"/>
      <c r="CI89" s="5"/>
      <c r="CJ89" s="48"/>
      <c r="CK89" s="5"/>
      <c r="CL89" s="74"/>
      <c r="CM89" s="5"/>
      <c r="CN89" s="74"/>
      <c r="CO89" s="5"/>
      <c r="CP89" s="48"/>
      <c r="CQ89" s="5"/>
      <c r="CR89" s="48"/>
      <c r="CS89" s="5"/>
      <c r="CT89" s="48"/>
      <c r="CU89" s="5"/>
      <c r="CV89" s="112">
        <f t="shared" si="42"/>
        <v>0</v>
      </c>
      <c r="CW89" s="86">
        <f t="shared" si="43"/>
        <v>0</v>
      </c>
      <c r="CX89" s="112"/>
      <c r="CY89" s="86"/>
      <c r="CZ89" s="4"/>
      <c r="DA89" s="5"/>
      <c r="DB89" s="112"/>
      <c r="DC89" s="86"/>
      <c r="DD89" s="6"/>
      <c r="DE89" s="7"/>
      <c r="DF89" s="51">
        <f t="shared" si="40"/>
        <v>0</v>
      </c>
      <c r="DG89" s="7">
        <f t="shared" si="41"/>
        <v>0</v>
      </c>
      <c r="DH89" s="32"/>
      <c r="DI89" s="33"/>
      <c r="DJ89" s="142"/>
      <c r="DK89" s="142"/>
      <c r="DL89" s="36"/>
    </row>
    <row r="90" spans="1:116" ht="13.5" customHeight="1" x14ac:dyDescent="0.25">
      <c r="A90" s="4" t="s">
        <v>39</v>
      </c>
      <c r="B90" s="4"/>
      <c r="C90" s="5"/>
      <c r="D90" s="109"/>
      <c r="E90" s="5"/>
      <c r="F90" s="48"/>
      <c r="G90" s="5"/>
      <c r="H90" s="48"/>
      <c r="I90" s="5"/>
      <c r="J90" s="48"/>
      <c r="K90" s="5"/>
      <c r="L90" s="48"/>
      <c r="M90" s="5"/>
      <c r="N90" s="48">
        <v>1</v>
      </c>
      <c r="O90" s="5">
        <v>700</v>
      </c>
      <c r="P90" s="48">
        <v>1</v>
      </c>
      <c r="Q90" s="5">
        <v>3000</v>
      </c>
      <c r="R90" s="48"/>
      <c r="S90" s="5"/>
      <c r="T90" s="65"/>
      <c r="U90" s="5"/>
      <c r="V90" s="41"/>
      <c r="W90" s="5"/>
      <c r="X90" s="41"/>
      <c r="Y90" s="5"/>
      <c r="Z90" s="48"/>
      <c r="AA90" s="5"/>
      <c r="AB90" s="48"/>
      <c r="AC90" s="5"/>
      <c r="AD90" s="74"/>
      <c r="AE90" s="5"/>
      <c r="AF90" s="48"/>
      <c r="AG90" s="5"/>
      <c r="AH90" s="48"/>
      <c r="AI90" s="5"/>
      <c r="AJ90" s="48"/>
      <c r="AK90" s="5"/>
      <c r="AL90" s="48"/>
      <c r="AM90" s="5"/>
      <c r="AN90" s="48"/>
      <c r="AO90" s="5"/>
      <c r="AP90" s="48"/>
      <c r="AQ90" s="5"/>
      <c r="AR90" s="48"/>
      <c r="AS90" s="5"/>
      <c r="AT90" s="48"/>
      <c r="AU90" s="5"/>
      <c r="AV90" s="65"/>
      <c r="AW90" s="5"/>
      <c r="AX90" s="48">
        <v>1</v>
      </c>
      <c r="AY90" s="5">
        <v>200</v>
      </c>
      <c r="AZ90" s="48">
        <v>1</v>
      </c>
      <c r="BA90" s="5">
        <v>200</v>
      </c>
      <c r="BB90" s="48"/>
      <c r="BC90" s="5"/>
      <c r="BD90" s="48"/>
      <c r="BE90" s="5"/>
      <c r="BF90" s="48">
        <v>1</v>
      </c>
      <c r="BG90" s="5">
        <v>4000</v>
      </c>
      <c r="BH90" s="48">
        <v>1</v>
      </c>
      <c r="BI90" s="5">
        <v>2500</v>
      </c>
      <c r="BJ90" s="48"/>
      <c r="BK90" s="5"/>
      <c r="BL90" s="48"/>
      <c r="BM90" s="5"/>
      <c r="BN90" s="65"/>
      <c r="BO90" s="5"/>
      <c r="BP90" s="128"/>
      <c r="BQ90" s="5"/>
      <c r="BR90" s="4"/>
      <c r="BS90" s="134"/>
      <c r="BT90" s="48"/>
      <c r="BU90" s="86"/>
      <c r="BV90" s="48"/>
      <c r="BW90" s="5"/>
      <c r="BX90" s="74"/>
      <c r="BY90" s="5"/>
      <c r="BZ90" s="48"/>
      <c r="CA90" s="5"/>
      <c r="CB90" s="48"/>
      <c r="CC90" s="5"/>
      <c r="CD90" s="4"/>
      <c r="CE90" s="5"/>
      <c r="CF90" s="48"/>
      <c r="CG90" s="5"/>
      <c r="CH90" s="48"/>
      <c r="CI90" s="5"/>
      <c r="CJ90" s="48">
        <v>1</v>
      </c>
      <c r="CK90" s="5">
        <v>1200</v>
      </c>
      <c r="CL90" s="74"/>
      <c r="CM90" s="5"/>
      <c r="CN90" s="74"/>
      <c r="CO90" s="5"/>
      <c r="CP90" s="48">
        <v>1</v>
      </c>
      <c r="CQ90" s="5">
        <v>1100</v>
      </c>
      <c r="CR90" s="48"/>
      <c r="CS90" s="5"/>
      <c r="CT90" s="48"/>
      <c r="CU90" s="5"/>
      <c r="CV90" s="112">
        <f t="shared" si="42"/>
        <v>1</v>
      </c>
      <c r="CW90" s="86">
        <f t="shared" si="43"/>
        <v>1100</v>
      </c>
      <c r="CX90" s="112"/>
      <c r="CY90" s="86"/>
      <c r="CZ90" s="4"/>
      <c r="DA90" s="5"/>
      <c r="DB90" s="112"/>
      <c r="DC90" s="86"/>
      <c r="DD90" s="6"/>
      <c r="DE90" s="7"/>
      <c r="DF90" s="51">
        <f t="shared" si="40"/>
        <v>8</v>
      </c>
      <c r="DG90" s="7">
        <f t="shared" si="41"/>
        <v>12900</v>
      </c>
      <c r="DH90" s="32">
        <f>DF90+65</f>
        <v>73</v>
      </c>
      <c r="DI90" s="33">
        <f>DG90+54235</f>
        <v>67135</v>
      </c>
      <c r="DJ90" s="142"/>
      <c r="DK90" s="142"/>
      <c r="DL90" s="36"/>
    </row>
    <row r="91" spans="1:116" ht="63" hidden="1" x14ac:dyDescent="0.25">
      <c r="A91" s="4" t="s">
        <v>217</v>
      </c>
      <c r="B91" s="4"/>
      <c r="C91" s="5"/>
      <c r="D91" s="109"/>
      <c r="E91" s="5"/>
      <c r="F91" s="48"/>
      <c r="G91" s="5"/>
      <c r="H91" s="48"/>
      <c r="I91" s="5"/>
      <c r="J91" s="48"/>
      <c r="K91" s="5"/>
      <c r="L91" s="48"/>
      <c r="M91" s="5"/>
      <c r="N91" s="48"/>
      <c r="O91" s="5"/>
      <c r="P91" s="48"/>
      <c r="Q91" s="5"/>
      <c r="R91" s="48"/>
      <c r="S91" s="5"/>
      <c r="T91" s="65"/>
      <c r="U91" s="5"/>
      <c r="V91" s="41"/>
      <c r="W91" s="5"/>
      <c r="X91" s="41"/>
      <c r="Y91" s="5"/>
      <c r="Z91" s="48"/>
      <c r="AA91" s="5"/>
      <c r="AB91" s="48"/>
      <c r="AC91" s="5"/>
      <c r="AD91" s="74"/>
      <c r="AE91" s="5"/>
      <c r="AF91" s="48"/>
      <c r="AG91" s="5"/>
      <c r="AH91" s="48"/>
      <c r="AI91" s="5"/>
      <c r="AJ91" s="48"/>
      <c r="AK91" s="5"/>
      <c r="AL91" s="48"/>
      <c r="AM91" s="5"/>
      <c r="AN91" s="48"/>
      <c r="AO91" s="5"/>
      <c r="AP91" s="48"/>
      <c r="AQ91" s="5"/>
      <c r="AR91" s="48"/>
      <c r="AS91" s="5"/>
      <c r="AT91" s="48"/>
      <c r="AU91" s="5"/>
      <c r="AV91" s="65"/>
      <c r="AW91" s="5"/>
      <c r="AX91" s="48"/>
      <c r="AY91" s="5"/>
      <c r="AZ91" s="48"/>
      <c r="BA91" s="5"/>
      <c r="BB91" s="48"/>
      <c r="BC91" s="5"/>
      <c r="BD91" s="48"/>
      <c r="BE91" s="5"/>
      <c r="BF91" s="48"/>
      <c r="BG91" s="5"/>
      <c r="BH91" s="48"/>
      <c r="BI91" s="5"/>
      <c r="BJ91" s="48"/>
      <c r="BK91" s="5"/>
      <c r="BL91" s="48"/>
      <c r="BM91" s="5"/>
      <c r="BN91" s="65"/>
      <c r="BO91" s="5"/>
      <c r="BP91" s="128"/>
      <c r="BQ91" s="5"/>
      <c r="BR91" s="4"/>
      <c r="BS91" s="134"/>
      <c r="BT91" s="48"/>
      <c r="BU91" s="86"/>
      <c r="BV91" s="48"/>
      <c r="BW91" s="5"/>
      <c r="BX91" s="74"/>
      <c r="BY91" s="5"/>
      <c r="BZ91" s="48"/>
      <c r="CA91" s="5"/>
      <c r="CB91" s="48"/>
      <c r="CC91" s="5"/>
      <c r="CD91" s="4"/>
      <c r="CE91" s="5"/>
      <c r="CF91" s="48"/>
      <c r="CG91" s="5"/>
      <c r="CH91" s="48"/>
      <c r="CI91" s="5"/>
      <c r="CJ91" s="48"/>
      <c r="CK91" s="5"/>
      <c r="CL91" s="74"/>
      <c r="CM91" s="5"/>
      <c r="CN91" s="74"/>
      <c r="CO91" s="5"/>
      <c r="CP91" s="48"/>
      <c r="CQ91" s="5"/>
      <c r="CR91" s="48"/>
      <c r="CS91" s="5"/>
      <c r="CT91" s="48"/>
      <c r="CU91" s="5"/>
      <c r="CV91" s="112">
        <f t="shared" si="42"/>
        <v>0</v>
      </c>
      <c r="CW91" s="86">
        <f t="shared" si="43"/>
        <v>0</v>
      </c>
      <c r="CX91" s="112"/>
      <c r="CY91" s="86"/>
      <c r="CZ91" s="4"/>
      <c r="DA91" s="5"/>
      <c r="DB91" s="112"/>
      <c r="DC91" s="86"/>
      <c r="DD91" s="6"/>
      <c r="DE91" s="7"/>
      <c r="DF91" s="51">
        <f t="shared" si="40"/>
        <v>0</v>
      </c>
      <c r="DG91" s="7">
        <f t="shared" si="41"/>
        <v>0</v>
      </c>
      <c r="DH91" s="32"/>
      <c r="DI91" s="33"/>
      <c r="DJ91" s="142"/>
      <c r="DK91" s="142"/>
      <c r="DL91" s="36"/>
    </row>
    <row r="92" spans="1:116" ht="13.5" customHeight="1" x14ac:dyDescent="0.25">
      <c r="A92" s="4" t="s">
        <v>40</v>
      </c>
      <c r="B92" s="4"/>
      <c r="C92" s="5"/>
      <c r="D92" s="109"/>
      <c r="E92" s="5"/>
      <c r="F92" s="48"/>
      <c r="G92" s="5"/>
      <c r="H92" s="48"/>
      <c r="I92" s="5"/>
      <c r="J92" s="48"/>
      <c r="K92" s="5"/>
      <c r="L92" s="48">
        <v>1</v>
      </c>
      <c r="M92" s="5">
        <v>3500</v>
      </c>
      <c r="N92" s="48"/>
      <c r="O92" s="5"/>
      <c r="P92" s="48">
        <v>1</v>
      </c>
      <c r="Q92" s="5">
        <v>400</v>
      </c>
      <c r="R92" s="48">
        <v>1</v>
      </c>
      <c r="S92" s="5">
        <v>1400</v>
      </c>
      <c r="T92" s="65"/>
      <c r="U92" s="5"/>
      <c r="V92" s="41"/>
      <c r="W92" s="5"/>
      <c r="X92" s="41">
        <v>1</v>
      </c>
      <c r="Y92" s="5">
        <v>5000</v>
      </c>
      <c r="Z92" s="48"/>
      <c r="AA92" s="5"/>
      <c r="AB92" s="48"/>
      <c r="AC92" s="5"/>
      <c r="AD92" s="74"/>
      <c r="AE92" s="5"/>
      <c r="AF92" s="48"/>
      <c r="AG92" s="5"/>
      <c r="AH92" s="48"/>
      <c r="AI92" s="5"/>
      <c r="AJ92" s="48"/>
      <c r="AK92" s="5"/>
      <c r="AL92" s="48"/>
      <c r="AM92" s="5"/>
      <c r="AN92" s="48"/>
      <c r="AO92" s="5"/>
      <c r="AP92" s="48"/>
      <c r="AQ92" s="5"/>
      <c r="AR92" s="48"/>
      <c r="AS92" s="5"/>
      <c r="AT92" s="48"/>
      <c r="AU92" s="5"/>
      <c r="AV92" s="65">
        <v>1</v>
      </c>
      <c r="AW92" s="5">
        <v>1500</v>
      </c>
      <c r="AX92" s="48">
        <v>1</v>
      </c>
      <c r="AY92" s="5">
        <v>1500</v>
      </c>
      <c r="AZ92" s="48">
        <v>1</v>
      </c>
      <c r="BA92" s="5">
        <v>2600</v>
      </c>
      <c r="BB92" s="48">
        <v>2</v>
      </c>
      <c r="BC92" s="5">
        <v>700</v>
      </c>
      <c r="BD92" s="48"/>
      <c r="BE92" s="5"/>
      <c r="BF92" s="48"/>
      <c r="BG92" s="5"/>
      <c r="BH92" s="48"/>
      <c r="BI92" s="5"/>
      <c r="BJ92" s="48"/>
      <c r="BK92" s="5"/>
      <c r="BL92" s="48">
        <v>1</v>
      </c>
      <c r="BM92" s="5">
        <v>900</v>
      </c>
      <c r="BN92" s="65"/>
      <c r="BO92" s="5"/>
      <c r="BP92" s="127">
        <v>1</v>
      </c>
      <c r="BQ92" s="5">
        <v>2000</v>
      </c>
      <c r="BR92" s="4"/>
      <c r="BS92" s="134"/>
      <c r="BT92" s="48"/>
      <c r="BU92" s="86"/>
      <c r="BV92" s="48">
        <v>2</v>
      </c>
      <c r="BW92" s="5">
        <v>5200</v>
      </c>
      <c r="BX92" s="74"/>
      <c r="BY92" s="5"/>
      <c r="BZ92" s="48"/>
      <c r="CA92" s="5"/>
      <c r="CB92" s="48"/>
      <c r="CC92" s="5"/>
      <c r="CD92" s="4"/>
      <c r="CE92" s="5"/>
      <c r="CF92" s="48"/>
      <c r="CG92" s="5"/>
      <c r="CH92" s="48"/>
      <c r="CI92" s="5"/>
      <c r="CJ92" s="48">
        <v>1</v>
      </c>
      <c r="CK92" s="5">
        <v>1000</v>
      </c>
      <c r="CL92" s="74"/>
      <c r="CM92" s="5"/>
      <c r="CN92" s="74"/>
      <c r="CO92" s="5"/>
      <c r="CP92" s="48"/>
      <c r="CQ92" s="5"/>
      <c r="CR92" s="48">
        <v>1</v>
      </c>
      <c r="CS92" s="5">
        <v>900</v>
      </c>
      <c r="CT92" s="48">
        <v>2</v>
      </c>
      <c r="CU92" s="5">
        <v>1900</v>
      </c>
      <c r="CV92" s="112">
        <f t="shared" si="42"/>
        <v>3</v>
      </c>
      <c r="CW92" s="86">
        <f t="shared" si="43"/>
        <v>2800</v>
      </c>
      <c r="CX92" s="139"/>
      <c r="CY92" s="86"/>
      <c r="CZ92" s="95"/>
      <c r="DA92" s="61"/>
      <c r="DB92" s="112"/>
      <c r="DC92" s="86"/>
      <c r="DD92" s="89"/>
      <c r="DE92" s="90"/>
      <c r="DF92" s="51">
        <f t="shared" si="40"/>
        <v>17</v>
      </c>
      <c r="DG92" s="7">
        <f t="shared" si="41"/>
        <v>28500</v>
      </c>
      <c r="DH92" s="32">
        <f>DF92+138</f>
        <v>155</v>
      </c>
      <c r="DI92" s="33">
        <f>DG92+131610</f>
        <v>160110</v>
      </c>
      <c r="DJ92" s="142"/>
      <c r="DK92" s="142"/>
      <c r="DL92" s="36"/>
    </row>
    <row r="93" spans="1:116" ht="102" hidden="1" customHeight="1" x14ac:dyDescent="0.25">
      <c r="A93" s="266" t="s">
        <v>230</v>
      </c>
      <c r="B93" s="4"/>
      <c r="C93" s="5"/>
      <c r="D93" s="109"/>
      <c r="E93" s="5"/>
      <c r="F93" s="48"/>
      <c r="G93" s="5"/>
      <c r="H93" s="48"/>
      <c r="I93" s="5"/>
      <c r="J93" s="48"/>
      <c r="K93" s="5"/>
      <c r="L93" s="48"/>
      <c r="M93" s="5"/>
      <c r="N93" s="48"/>
      <c r="O93" s="5"/>
      <c r="P93" s="48"/>
      <c r="Q93" s="5"/>
      <c r="R93" s="48"/>
      <c r="S93" s="5"/>
      <c r="T93" s="65"/>
      <c r="U93" s="5"/>
      <c r="V93" s="41"/>
      <c r="W93" s="5"/>
      <c r="X93" s="41"/>
      <c r="Y93" s="5"/>
      <c r="Z93" s="48"/>
      <c r="AA93" s="5"/>
      <c r="AB93" s="48"/>
      <c r="AC93" s="5"/>
      <c r="AD93" s="74"/>
      <c r="AE93" s="5"/>
      <c r="AF93" s="48"/>
      <c r="AG93" s="5"/>
      <c r="AH93" s="48"/>
      <c r="AI93" s="5"/>
      <c r="AJ93" s="48"/>
      <c r="AK93" s="5"/>
      <c r="AL93" s="48"/>
      <c r="AM93" s="5"/>
      <c r="AN93" s="48"/>
      <c r="AO93" s="5"/>
      <c r="AP93" s="48"/>
      <c r="AQ93" s="5"/>
      <c r="AR93" s="48"/>
      <c r="AS93" s="5"/>
      <c r="AT93" s="48"/>
      <c r="AU93" s="5"/>
      <c r="AV93" s="65"/>
      <c r="AW93" s="5"/>
      <c r="AX93" s="48"/>
      <c r="AY93" s="5"/>
      <c r="AZ93" s="48"/>
      <c r="BA93" s="5"/>
      <c r="BB93" s="48"/>
      <c r="BC93" s="5"/>
      <c r="BD93" s="48"/>
      <c r="BE93" s="5"/>
      <c r="BF93" s="48"/>
      <c r="BG93" s="5"/>
      <c r="BH93" s="48"/>
      <c r="BI93" s="5"/>
      <c r="BJ93" s="48"/>
      <c r="BK93" s="5"/>
      <c r="BL93" s="48"/>
      <c r="BM93" s="5"/>
      <c r="BN93" s="65"/>
      <c r="BO93" s="5"/>
      <c r="BP93" s="128"/>
      <c r="BQ93" s="5"/>
      <c r="BR93" s="4"/>
      <c r="BS93" s="134"/>
      <c r="BT93" s="48"/>
      <c r="BU93" s="86"/>
      <c r="BV93" s="48"/>
      <c r="BW93" s="5"/>
      <c r="BX93" s="74"/>
      <c r="BY93" s="5"/>
      <c r="BZ93" s="48"/>
      <c r="CA93" s="5"/>
      <c r="CB93" s="48"/>
      <c r="CC93" s="5"/>
      <c r="CD93" s="4"/>
      <c r="CE93" s="5"/>
      <c r="CF93" s="48"/>
      <c r="CG93" s="5"/>
      <c r="CH93" s="48"/>
      <c r="CI93" s="5"/>
      <c r="CJ93" s="48"/>
      <c r="CK93" s="5"/>
      <c r="CL93" s="74"/>
      <c r="CM93" s="5"/>
      <c r="CN93" s="74"/>
      <c r="CO93" s="5"/>
      <c r="CP93" s="48"/>
      <c r="CQ93" s="5"/>
      <c r="CR93" s="48"/>
      <c r="CS93" s="5"/>
      <c r="CT93" s="48"/>
      <c r="CU93" s="5"/>
      <c r="CV93" s="112">
        <f t="shared" si="42"/>
        <v>0</v>
      </c>
      <c r="CW93" s="86">
        <f t="shared" si="43"/>
        <v>0</v>
      </c>
      <c r="CX93" s="139"/>
      <c r="CY93" s="86"/>
      <c r="CZ93" s="4"/>
      <c r="DA93" s="5"/>
      <c r="DB93" s="112"/>
      <c r="DC93" s="86"/>
      <c r="DD93" s="6"/>
      <c r="DE93" s="7"/>
      <c r="DF93" s="51">
        <f t="shared" si="40"/>
        <v>0</v>
      </c>
      <c r="DG93" s="7">
        <f t="shared" si="41"/>
        <v>0</v>
      </c>
      <c r="DH93" s="32"/>
      <c r="DI93" s="33"/>
      <c r="DJ93" s="142"/>
      <c r="DK93" s="142"/>
      <c r="DL93" s="36"/>
    </row>
    <row r="94" spans="1:116" ht="18" customHeight="1" x14ac:dyDescent="0.25">
      <c r="A94" s="4" t="s">
        <v>41</v>
      </c>
      <c r="B94" s="4"/>
      <c r="C94" s="5"/>
      <c r="D94" s="109"/>
      <c r="E94" s="5"/>
      <c r="F94" s="48">
        <v>1</v>
      </c>
      <c r="G94" s="5">
        <v>1800</v>
      </c>
      <c r="H94" s="48"/>
      <c r="I94" s="5"/>
      <c r="J94" s="48"/>
      <c r="K94" s="5"/>
      <c r="L94" s="48"/>
      <c r="M94" s="5"/>
      <c r="N94" s="48">
        <v>1</v>
      </c>
      <c r="O94" s="5">
        <v>2030</v>
      </c>
      <c r="P94" s="48"/>
      <c r="Q94" s="5"/>
      <c r="R94" s="48">
        <v>1</v>
      </c>
      <c r="S94" s="5">
        <v>1300</v>
      </c>
      <c r="T94" s="65">
        <v>1</v>
      </c>
      <c r="U94" s="5">
        <v>400</v>
      </c>
      <c r="V94" s="41"/>
      <c r="W94" s="5"/>
      <c r="X94" s="41"/>
      <c r="Y94" s="5"/>
      <c r="Z94" s="48"/>
      <c r="AA94" s="5"/>
      <c r="AB94" s="48">
        <v>1</v>
      </c>
      <c r="AC94" s="5">
        <v>4770</v>
      </c>
      <c r="AD94" s="74"/>
      <c r="AE94" s="5"/>
      <c r="AF94" s="48"/>
      <c r="AG94" s="5"/>
      <c r="AH94" s="48"/>
      <c r="AI94" s="5"/>
      <c r="AJ94" s="48"/>
      <c r="AK94" s="5"/>
      <c r="AL94" s="48"/>
      <c r="AM94" s="5"/>
      <c r="AN94" s="48"/>
      <c r="AO94" s="5"/>
      <c r="AP94" s="48">
        <v>1</v>
      </c>
      <c r="AQ94" s="5">
        <v>5000</v>
      </c>
      <c r="AR94" s="48"/>
      <c r="AS94" s="5"/>
      <c r="AT94" s="48"/>
      <c r="AU94" s="5"/>
      <c r="AV94" s="65"/>
      <c r="AW94" s="5"/>
      <c r="AX94" s="48"/>
      <c r="AY94" s="5"/>
      <c r="AZ94" s="48"/>
      <c r="BA94" s="5"/>
      <c r="BB94" s="48"/>
      <c r="BC94" s="5"/>
      <c r="BD94" s="48"/>
      <c r="BE94" s="5"/>
      <c r="BF94" s="48"/>
      <c r="BG94" s="5"/>
      <c r="BH94" s="48"/>
      <c r="BI94" s="5"/>
      <c r="BJ94" s="48"/>
      <c r="BK94" s="5"/>
      <c r="BL94" s="48"/>
      <c r="BM94" s="5"/>
      <c r="BN94" s="65"/>
      <c r="BO94" s="5"/>
      <c r="BP94" s="128">
        <v>1</v>
      </c>
      <c r="BQ94" s="5">
        <v>300</v>
      </c>
      <c r="BR94" s="4"/>
      <c r="BS94" s="134"/>
      <c r="BT94" s="48"/>
      <c r="BU94" s="86"/>
      <c r="BV94" s="48"/>
      <c r="BW94" s="5"/>
      <c r="BX94" s="74"/>
      <c r="BY94" s="5"/>
      <c r="BZ94" s="48"/>
      <c r="CA94" s="5"/>
      <c r="CB94" s="48"/>
      <c r="CC94" s="5"/>
      <c r="CD94" s="4"/>
      <c r="CE94" s="5"/>
      <c r="CF94" s="48"/>
      <c r="CG94" s="5"/>
      <c r="CH94" s="48"/>
      <c r="CI94" s="5"/>
      <c r="CJ94" s="48">
        <v>1</v>
      </c>
      <c r="CK94" s="5">
        <v>2900</v>
      </c>
      <c r="CL94" s="74"/>
      <c r="CM94" s="5"/>
      <c r="CN94" s="74"/>
      <c r="CO94" s="5"/>
      <c r="CP94" s="48"/>
      <c r="CQ94" s="5"/>
      <c r="CR94" s="48"/>
      <c r="CS94" s="5"/>
      <c r="CT94" s="48"/>
      <c r="CU94" s="5"/>
      <c r="CV94" s="112">
        <f t="shared" si="42"/>
        <v>0</v>
      </c>
      <c r="CW94" s="86">
        <f t="shared" si="43"/>
        <v>0</v>
      </c>
      <c r="CX94" s="139"/>
      <c r="CY94" s="86"/>
      <c r="CZ94" s="4"/>
      <c r="DA94" s="5"/>
      <c r="DB94" s="112"/>
      <c r="DC94" s="86"/>
      <c r="DD94" s="6"/>
      <c r="DE94" s="7"/>
      <c r="DF94" s="51">
        <f t="shared" si="40"/>
        <v>8</v>
      </c>
      <c r="DG94" s="7">
        <f t="shared" si="41"/>
        <v>18500</v>
      </c>
      <c r="DH94" s="32">
        <f>DF94+36</f>
        <v>44</v>
      </c>
      <c r="DI94" s="33">
        <f>DG94+30285</f>
        <v>48785</v>
      </c>
      <c r="DJ94" s="142"/>
      <c r="DK94" s="142"/>
      <c r="DL94" s="36"/>
    </row>
    <row r="95" spans="1:116" ht="44.25" hidden="1" customHeight="1" x14ac:dyDescent="0.25">
      <c r="A95" s="4" t="s">
        <v>202</v>
      </c>
      <c r="B95" s="4"/>
      <c r="C95" s="5"/>
      <c r="D95" s="109"/>
      <c r="E95" s="5"/>
      <c r="F95" s="48"/>
      <c r="G95" s="5"/>
      <c r="H95" s="48"/>
      <c r="I95" s="5"/>
      <c r="J95" s="48"/>
      <c r="K95" s="5"/>
      <c r="L95" s="48"/>
      <c r="M95" s="5"/>
      <c r="N95" s="48"/>
      <c r="O95" s="5"/>
      <c r="P95" s="48"/>
      <c r="Q95" s="5"/>
      <c r="R95" s="48"/>
      <c r="S95" s="5"/>
      <c r="T95" s="65"/>
      <c r="U95" s="5"/>
      <c r="V95" s="41"/>
      <c r="W95" s="5"/>
      <c r="X95" s="41"/>
      <c r="Y95" s="5"/>
      <c r="Z95" s="48"/>
      <c r="AA95" s="5"/>
      <c r="AB95" s="48"/>
      <c r="AC95" s="5"/>
      <c r="AD95" s="74"/>
      <c r="AE95" s="5"/>
      <c r="AF95" s="48"/>
      <c r="AG95" s="5"/>
      <c r="AH95" s="48"/>
      <c r="AI95" s="5"/>
      <c r="AJ95" s="48"/>
      <c r="AK95" s="5"/>
      <c r="AL95" s="48"/>
      <c r="AM95" s="5"/>
      <c r="AN95" s="48"/>
      <c r="AO95" s="5"/>
      <c r="AP95" s="48"/>
      <c r="AQ95" s="5"/>
      <c r="AR95" s="48"/>
      <c r="AS95" s="5"/>
      <c r="AT95" s="48"/>
      <c r="AU95" s="5"/>
      <c r="AV95" s="65"/>
      <c r="AW95" s="5"/>
      <c r="AX95" s="48"/>
      <c r="AY95" s="5"/>
      <c r="AZ95" s="48"/>
      <c r="BA95" s="5"/>
      <c r="BB95" s="48"/>
      <c r="BC95" s="5"/>
      <c r="BD95" s="48"/>
      <c r="BE95" s="5"/>
      <c r="BF95" s="48"/>
      <c r="BG95" s="5"/>
      <c r="BH95" s="48"/>
      <c r="BI95" s="5"/>
      <c r="BJ95" s="48"/>
      <c r="BK95" s="5"/>
      <c r="BL95" s="48"/>
      <c r="BM95" s="5"/>
      <c r="BN95" s="65"/>
      <c r="BO95" s="5"/>
      <c r="BP95" s="128"/>
      <c r="BQ95" s="5"/>
      <c r="BR95" s="4"/>
      <c r="BS95" s="134"/>
      <c r="BT95" s="48"/>
      <c r="BU95" s="86"/>
      <c r="BV95" s="48"/>
      <c r="BW95" s="5"/>
      <c r="BX95" s="74"/>
      <c r="BY95" s="5"/>
      <c r="BZ95" s="48"/>
      <c r="CA95" s="5"/>
      <c r="CB95" s="48"/>
      <c r="CC95" s="5"/>
      <c r="CD95" s="4"/>
      <c r="CE95" s="5"/>
      <c r="CF95" s="48"/>
      <c r="CG95" s="5"/>
      <c r="CH95" s="48"/>
      <c r="CI95" s="5"/>
      <c r="CJ95" s="48"/>
      <c r="CK95" s="5"/>
      <c r="CL95" s="74"/>
      <c r="CM95" s="5"/>
      <c r="CN95" s="74"/>
      <c r="CO95" s="5"/>
      <c r="CP95" s="48"/>
      <c r="CQ95" s="5"/>
      <c r="CR95" s="48"/>
      <c r="CS95" s="5"/>
      <c r="CT95" s="48"/>
      <c r="CU95" s="5"/>
      <c r="CV95" s="112">
        <f t="shared" si="42"/>
        <v>0</v>
      </c>
      <c r="CW95" s="86">
        <f t="shared" si="43"/>
        <v>0</v>
      </c>
      <c r="CX95" s="139"/>
      <c r="CY95" s="86"/>
      <c r="CZ95" s="4"/>
      <c r="DA95" s="5"/>
      <c r="DB95" s="112"/>
      <c r="DC95" s="86"/>
      <c r="DD95" s="6"/>
      <c r="DE95" s="7"/>
      <c r="DF95" s="51">
        <f t="shared" si="40"/>
        <v>0</v>
      </c>
      <c r="DG95" s="7">
        <f t="shared" si="41"/>
        <v>0</v>
      </c>
      <c r="DH95" s="32"/>
      <c r="DI95" s="33"/>
      <c r="DJ95" s="142"/>
      <c r="DK95" s="142"/>
      <c r="DL95" s="36"/>
    </row>
    <row r="96" spans="1:116" ht="14.25" customHeight="1" x14ac:dyDescent="0.25">
      <c r="A96" s="4" t="s">
        <v>42</v>
      </c>
      <c r="B96" s="4"/>
      <c r="C96" s="5"/>
      <c r="D96" s="109"/>
      <c r="E96" s="5"/>
      <c r="F96" s="48"/>
      <c r="G96" s="5"/>
      <c r="H96" s="48"/>
      <c r="I96" s="5"/>
      <c r="J96" s="48"/>
      <c r="K96" s="5"/>
      <c r="L96" s="48"/>
      <c r="M96" s="5"/>
      <c r="N96" s="48"/>
      <c r="O96" s="5"/>
      <c r="P96" s="48"/>
      <c r="Q96" s="5"/>
      <c r="R96" s="48"/>
      <c r="S96" s="5"/>
      <c r="T96" s="65"/>
      <c r="U96" s="5"/>
      <c r="V96" s="41"/>
      <c r="W96" s="5"/>
      <c r="X96" s="41"/>
      <c r="Y96" s="5"/>
      <c r="Z96" s="48"/>
      <c r="AA96" s="5"/>
      <c r="AB96" s="48"/>
      <c r="AC96" s="5"/>
      <c r="AD96" s="74"/>
      <c r="AE96" s="5"/>
      <c r="AF96" s="48"/>
      <c r="AG96" s="5"/>
      <c r="AH96" s="48"/>
      <c r="AI96" s="5"/>
      <c r="AJ96" s="48"/>
      <c r="AK96" s="5"/>
      <c r="AL96" s="48"/>
      <c r="AM96" s="5"/>
      <c r="AN96" s="48"/>
      <c r="AO96" s="5"/>
      <c r="AP96" s="48"/>
      <c r="AQ96" s="5"/>
      <c r="AR96" s="48"/>
      <c r="AS96" s="5"/>
      <c r="AT96" s="48"/>
      <c r="AU96" s="5"/>
      <c r="AV96" s="65"/>
      <c r="AW96" s="5"/>
      <c r="AX96" s="48"/>
      <c r="AY96" s="5"/>
      <c r="AZ96" s="48"/>
      <c r="BA96" s="5"/>
      <c r="BB96" s="48"/>
      <c r="BC96" s="5"/>
      <c r="BD96" s="48"/>
      <c r="BE96" s="5"/>
      <c r="BF96" s="48"/>
      <c r="BG96" s="5"/>
      <c r="BH96" s="48"/>
      <c r="BI96" s="5"/>
      <c r="BJ96" s="48"/>
      <c r="BK96" s="5"/>
      <c r="BL96" s="48"/>
      <c r="BM96" s="5"/>
      <c r="BN96" s="65"/>
      <c r="BO96" s="5"/>
      <c r="BP96" s="128"/>
      <c r="BQ96" s="5"/>
      <c r="BR96" s="4"/>
      <c r="BS96" s="134"/>
      <c r="BT96" s="48"/>
      <c r="BU96" s="86"/>
      <c r="BV96" s="48"/>
      <c r="BW96" s="5"/>
      <c r="BX96" s="74"/>
      <c r="BY96" s="5"/>
      <c r="BZ96" s="48"/>
      <c r="CA96" s="5"/>
      <c r="CB96" s="48"/>
      <c r="CC96" s="5"/>
      <c r="CD96" s="4"/>
      <c r="CE96" s="5"/>
      <c r="CF96" s="48"/>
      <c r="CG96" s="5"/>
      <c r="CH96" s="48"/>
      <c r="CI96" s="5"/>
      <c r="CJ96" s="48"/>
      <c r="CK96" s="5"/>
      <c r="CL96" s="74"/>
      <c r="CM96" s="5"/>
      <c r="CN96" s="74"/>
      <c r="CO96" s="5"/>
      <c r="CP96" s="48"/>
      <c r="CQ96" s="5"/>
      <c r="CR96" s="48"/>
      <c r="CS96" s="5"/>
      <c r="CT96" s="48"/>
      <c r="CU96" s="5"/>
      <c r="CV96" s="112">
        <f t="shared" si="42"/>
        <v>0</v>
      </c>
      <c r="CW96" s="86">
        <f t="shared" si="43"/>
        <v>0</v>
      </c>
      <c r="CX96" s="139"/>
      <c r="CY96" s="86"/>
      <c r="CZ96" s="4"/>
      <c r="DA96" s="5"/>
      <c r="DB96" s="112"/>
      <c r="DC96" s="86"/>
      <c r="DD96" s="6"/>
      <c r="DE96" s="7"/>
      <c r="DF96" s="51">
        <f t="shared" si="40"/>
        <v>0</v>
      </c>
      <c r="DG96" s="7">
        <f t="shared" si="41"/>
        <v>0</v>
      </c>
      <c r="DH96" s="32">
        <f>DF96+8</f>
        <v>8</v>
      </c>
      <c r="DI96" s="33">
        <f>DG96+11275</f>
        <v>11275</v>
      </c>
      <c r="DJ96" s="142"/>
      <c r="DK96" s="142"/>
      <c r="DL96" s="36"/>
    </row>
    <row r="97" spans="1:116" hidden="1" x14ac:dyDescent="0.25">
      <c r="A97" s="4"/>
      <c r="B97" s="4"/>
      <c r="C97" s="5"/>
      <c r="D97" s="109"/>
      <c r="E97" s="5"/>
      <c r="F97" s="48"/>
      <c r="G97" s="5"/>
      <c r="H97" s="48"/>
      <c r="I97" s="5"/>
      <c r="J97" s="48"/>
      <c r="K97" s="5"/>
      <c r="L97" s="48"/>
      <c r="M97" s="5"/>
      <c r="N97" s="48"/>
      <c r="O97" s="5"/>
      <c r="P97" s="48"/>
      <c r="Q97" s="5"/>
      <c r="R97" s="48"/>
      <c r="S97" s="5"/>
      <c r="T97" s="65"/>
      <c r="U97" s="5"/>
      <c r="V97" s="41"/>
      <c r="W97" s="5"/>
      <c r="X97" s="41"/>
      <c r="Y97" s="5"/>
      <c r="Z97" s="48"/>
      <c r="AA97" s="5"/>
      <c r="AB97" s="48"/>
      <c r="AC97" s="5"/>
      <c r="AD97" s="74"/>
      <c r="AE97" s="5"/>
      <c r="AF97" s="48"/>
      <c r="AG97" s="5"/>
      <c r="AH97" s="48"/>
      <c r="AI97" s="5"/>
      <c r="AJ97" s="48"/>
      <c r="AK97" s="5"/>
      <c r="AL97" s="48"/>
      <c r="AM97" s="5"/>
      <c r="AN97" s="48"/>
      <c r="AO97" s="5"/>
      <c r="AP97" s="48"/>
      <c r="AQ97" s="5"/>
      <c r="AR97" s="48"/>
      <c r="AS97" s="5"/>
      <c r="AT97" s="48"/>
      <c r="AU97" s="5"/>
      <c r="AV97" s="65"/>
      <c r="AW97" s="5"/>
      <c r="AX97" s="48"/>
      <c r="AY97" s="5"/>
      <c r="AZ97" s="48"/>
      <c r="BA97" s="5"/>
      <c r="BB97" s="48"/>
      <c r="BC97" s="5"/>
      <c r="BD97" s="48"/>
      <c r="BE97" s="5"/>
      <c r="BF97" s="48"/>
      <c r="BG97" s="5"/>
      <c r="BH97" s="48"/>
      <c r="BI97" s="5"/>
      <c r="BJ97" s="48"/>
      <c r="BK97" s="5"/>
      <c r="BL97" s="48"/>
      <c r="BM97" s="5"/>
      <c r="BN97" s="65"/>
      <c r="BO97" s="5"/>
      <c r="BP97" s="128"/>
      <c r="BQ97" s="5"/>
      <c r="BR97" s="4"/>
      <c r="BS97" s="134"/>
      <c r="BT97" s="48"/>
      <c r="BU97" s="86"/>
      <c r="BV97" s="48"/>
      <c r="BW97" s="5"/>
      <c r="BX97" s="74"/>
      <c r="BY97" s="5"/>
      <c r="BZ97" s="48"/>
      <c r="CA97" s="5"/>
      <c r="CB97" s="48"/>
      <c r="CC97" s="5"/>
      <c r="CD97" s="4"/>
      <c r="CE97" s="5"/>
      <c r="CF97" s="48"/>
      <c r="CG97" s="5"/>
      <c r="CH97" s="48"/>
      <c r="CI97" s="5"/>
      <c r="CJ97" s="48"/>
      <c r="CK97" s="5"/>
      <c r="CL97" s="74"/>
      <c r="CM97" s="5"/>
      <c r="CN97" s="74"/>
      <c r="CO97" s="5"/>
      <c r="CP97" s="48"/>
      <c r="CQ97" s="5"/>
      <c r="CR97" s="48"/>
      <c r="CS97" s="5"/>
      <c r="CT97" s="48"/>
      <c r="CU97" s="5"/>
      <c r="CV97" s="112">
        <f t="shared" si="42"/>
        <v>0</v>
      </c>
      <c r="CW97" s="86">
        <f t="shared" si="43"/>
        <v>0</v>
      </c>
      <c r="CX97" s="139"/>
      <c r="CY97" s="86"/>
      <c r="CZ97" s="4"/>
      <c r="DA97" s="5"/>
      <c r="DB97" s="112"/>
      <c r="DC97" s="86"/>
      <c r="DD97" s="6"/>
      <c r="DE97" s="7"/>
      <c r="DF97" s="51">
        <f t="shared" si="40"/>
        <v>0</v>
      </c>
      <c r="DG97" s="7">
        <f t="shared" si="41"/>
        <v>0</v>
      </c>
      <c r="DH97" s="32"/>
      <c r="DI97" s="33"/>
      <c r="DJ97" s="142"/>
      <c r="DK97" s="142"/>
      <c r="DL97" s="36"/>
    </row>
    <row r="98" spans="1:116" ht="13.5" customHeight="1" x14ac:dyDescent="0.25">
      <c r="A98" s="4" t="s">
        <v>43</v>
      </c>
      <c r="B98" s="4">
        <v>1</v>
      </c>
      <c r="C98" s="5">
        <v>3500</v>
      </c>
      <c r="D98" s="109"/>
      <c r="E98" s="5"/>
      <c r="F98" s="48"/>
      <c r="G98" s="5"/>
      <c r="H98" s="48"/>
      <c r="I98" s="5"/>
      <c r="J98" s="48"/>
      <c r="K98" s="5"/>
      <c r="L98" s="48"/>
      <c r="M98" s="5"/>
      <c r="N98" s="48"/>
      <c r="O98" s="5"/>
      <c r="P98" s="48">
        <v>1</v>
      </c>
      <c r="Q98" s="5">
        <v>2000</v>
      </c>
      <c r="R98" s="48"/>
      <c r="S98" s="5"/>
      <c r="T98" s="65"/>
      <c r="U98" s="5"/>
      <c r="V98" s="41"/>
      <c r="W98" s="5"/>
      <c r="X98" s="41"/>
      <c r="Y98" s="5"/>
      <c r="Z98" s="48"/>
      <c r="AA98" s="5"/>
      <c r="AB98" s="48"/>
      <c r="AC98" s="5"/>
      <c r="AD98" s="74"/>
      <c r="AE98" s="5"/>
      <c r="AF98" s="48"/>
      <c r="AG98" s="5"/>
      <c r="AH98" s="48"/>
      <c r="AI98" s="5"/>
      <c r="AJ98" s="48"/>
      <c r="AK98" s="5"/>
      <c r="AL98" s="48"/>
      <c r="AM98" s="5"/>
      <c r="AN98" s="48"/>
      <c r="AO98" s="5"/>
      <c r="AP98" s="48"/>
      <c r="AQ98" s="5"/>
      <c r="AR98" s="48"/>
      <c r="AS98" s="5"/>
      <c r="AT98" s="48"/>
      <c r="AU98" s="5"/>
      <c r="AV98" s="65"/>
      <c r="AW98" s="5"/>
      <c r="AX98" s="48"/>
      <c r="AY98" s="5"/>
      <c r="AZ98" s="48"/>
      <c r="BA98" s="5"/>
      <c r="BB98" s="48"/>
      <c r="BC98" s="5"/>
      <c r="BD98" s="48"/>
      <c r="BE98" s="5"/>
      <c r="BF98" s="48"/>
      <c r="BG98" s="5"/>
      <c r="BH98" s="48"/>
      <c r="BI98" s="5"/>
      <c r="BJ98" s="48"/>
      <c r="BK98" s="5"/>
      <c r="BL98" s="48"/>
      <c r="BM98" s="5"/>
      <c r="BN98" s="65"/>
      <c r="BO98" s="5"/>
      <c r="BP98" s="127"/>
      <c r="BQ98" s="5"/>
      <c r="BR98" s="4"/>
      <c r="BS98" s="134"/>
      <c r="BT98" s="48"/>
      <c r="BU98" s="86"/>
      <c r="BV98" s="48"/>
      <c r="BW98" s="5"/>
      <c r="BX98" s="74"/>
      <c r="BY98" s="5"/>
      <c r="BZ98" s="48"/>
      <c r="CA98" s="5"/>
      <c r="CB98" s="48">
        <v>1</v>
      </c>
      <c r="CC98" s="5">
        <v>1500</v>
      </c>
      <c r="CD98" s="4"/>
      <c r="CE98" s="5"/>
      <c r="CF98" s="48"/>
      <c r="CG98" s="5"/>
      <c r="CH98" s="48"/>
      <c r="CI98" s="5"/>
      <c r="CJ98" s="48"/>
      <c r="CK98" s="5"/>
      <c r="CL98" s="74">
        <v>2</v>
      </c>
      <c r="CM98" s="5">
        <v>7300</v>
      </c>
      <c r="CN98" s="74"/>
      <c r="CO98" s="5"/>
      <c r="CP98" s="48"/>
      <c r="CQ98" s="5"/>
      <c r="CR98" s="48"/>
      <c r="CS98" s="5"/>
      <c r="CT98" s="48"/>
      <c r="CU98" s="5"/>
      <c r="CV98" s="112">
        <f t="shared" si="42"/>
        <v>0</v>
      </c>
      <c r="CW98" s="86">
        <f t="shared" si="43"/>
        <v>0</v>
      </c>
      <c r="CX98" s="139"/>
      <c r="CY98" s="86"/>
      <c r="CZ98" s="4"/>
      <c r="DA98" s="5"/>
      <c r="DB98" s="112"/>
      <c r="DC98" s="86"/>
      <c r="DD98" s="6"/>
      <c r="DE98" s="7"/>
      <c r="DF98" s="51">
        <f t="shared" si="40"/>
        <v>5</v>
      </c>
      <c r="DG98" s="7">
        <f t="shared" si="41"/>
        <v>14300</v>
      </c>
      <c r="DH98" s="143">
        <f>DF98+41</f>
        <v>46</v>
      </c>
      <c r="DI98" s="160">
        <f>DG98+34369</f>
        <v>48669</v>
      </c>
      <c r="DJ98" s="142"/>
      <c r="DK98" s="142"/>
      <c r="DL98" s="36"/>
    </row>
    <row r="99" spans="1:116" ht="34.5" hidden="1" customHeight="1" x14ac:dyDescent="0.25">
      <c r="A99" s="4" t="s">
        <v>206</v>
      </c>
      <c r="B99" s="4"/>
      <c r="C99" s="5"/>
      <c r="D99" s="109"/>
      <c r="E99" s="5"/>
      <c r="F99" s="48"/>
      <c r="G99" s="5"/>
      <c r="H99" s="48"/>
      <c r="I99" s="5"/>
      <c r="J99" s="48"/>
      <c r="K99" s="5"/>
      <c r="L99" s="48"/>
      <c r="M99" s="5"/>
      <c r="N99" s="48"/>
      <c r="O99" s="5"/>
      <c r="P99" s="48"/>
      <c r="Q99" s="5"/>
      <c r="R99" s="48"/>
      <c r="S99" s="5"/>
      <c r="T99" s="65"/>
      <c r="U99" s="5"/>
      <c r="V99" s="41"/>
      <c r="W99" s="5"/>
      <c r="X99" s="41"/>
      <c r="Y99" s="5"/>
      <c r="Z99" s="48"/>
      <c r="AA99" s="5"/>
      <c r="AB99" s="48"/>
      <c r="AC99" s="5"/>
      <c r="AD99" s="74"/>
      <c r="AE99" s="5"/>
      <c r="AF99" s="48"/>
      <c r="AG99" s="5"/>
      <c r="AH99" s="48"/>
      <c r="AI99" s="5"/>
      <c r="AJ99" s="48"/>
      <c r="AK99" s="5"/>
      <c r="AL99" s="48"/>
      <c r="AM99" s="5"/>
      <c r="AN99" s="48"/>
      <c r="AO99" s="5"/>
      <c r="AP99" s="48"/>
      <c r="AQ99" s="5"/>
      <c r="AR99" s="48"/>
      <c r="AS99" s="5"/>
      <c r="AT99" s="48"/>
      <c r="AU99" s="5"/>
      <c r="AV99" s="65"/>
      <c r="AW99" s="5"/>
      <c r="AX99" s="48"/>
      <c r="AY99" s="5"/>
      <c r="AZ99" s="48"/>
      <c r="BA99" s="5"/>
      <c r="BB99" s="48"/>
      <c r="BC99" s="5"/>
      <c r="BD99" s="48"/>
      <c r="BE99" s="5"/>
      <c r="BF99" s="48"/>
      <c r="BG99" s="5"/>
      <c r="BH99" s="48"/>
      <c r="BI99" s="5"/>
      <c r="BJ99" s="48"/>
      <c r="BK99" s="5"/>
      <c r="BL99" s="48"/>
      <c r="BM99" s="5"/>
      <c r="BN99" s="65"/>
      <c r="BO99" s="5"/>
      <c r="BP99" s="128"/>
      <c r="BQ99" s="5"/>
      <c r="BR99" s="4"/>
      <c r="BS99" s="134"/>
      <c r="BT99" s="48"/>
      <c r="BU99" s="86"/>
      <c r="BV99" s="48"/>
      <c r="BW99" s="5"/>
      <c r="BX99" s="74"/>
      <c r="BY99" s="5"/>
      <c r="BZ99" s="48"/>
      <c r="CA99" s="5"/>
      <c r="CB99" s="48"/>
      <c r="CC99" s="5"/>
      <c r="CD99" s="4"/>
      <c r="CE99" s="5"/>
      <c r="CF99" s="48"/>
      <c r="CG99" s="5"/>
      <c r="CH99" s="48"/>
      <c r="CI99" s="5"/>
      <c r="CJ99" s="48"/>
      <c r="CK99" s="5"/>
      <c r="CL99" s="74"/>
      <c r="CM99" s="5"/>
      <c r="CN99" s="74"/>
      <c r="CO99" s="5"/>
      <c r="CP99" s="48"/>
      <c r="CQ99" s="5"/>
      <c r="CR99" s="48"/>
      <c r="CS99" s="5"/>
      <c r="CT99" s="48"/>
      <c r="CU99" s="5"/>
      <c r="CV99" s="112">
        <f t="shared" si="42"/>
        <v>0</v>
      </c>
      <c r="CW99" s="86">
        <f t="shared" si="43"/>
        <v>0</v>
      </c>
      <c r="CX99" s="139"/>
      <c r="CY99" s="86"/>
      <c r="CZ99" s="4"/>
      <c r="DA99" s="5"/>
      <c r="DB99" s="112"/>
      <c r="DC99" s="86"/>
      <c r="DD99" s="6"/>
      <c r="DE99" s="7"/>
      <c r="DF99" s="51">
        <f t="shared" si="40"/>
        <v>0</v>
      </c>
      <c r="DG99" s="7">
        <f t="shared" si="41"/>
        <v>0</v>
      </c>
      <c r="DH99" s="32"/>
      <c r="DI99" s="33"/>
      <c r="DJ99" s="142"/>
      <c r="DK99" s="142"/>
      <c r="DL99" s="36"/>
    </row>
    <row r="100" spans="1:116" ht="14.25" customHeight="1" x14ac:dyDescent="0.25">
      <c r="A100" s="4" t="s">
        <v>44</v>
      </c>
      <c r="B100" s="4"/>
      <c r="C100" s="5"/>
      <c r="D100" s="109"/>
      <c r="E100" s="5"/>
      <c r="F100" s="48"/>
      <c r="G100" s="5"/>
      <c r="H100" s="48"/>
      <c r="I100" s="5"/>
      <c r="J100" s="48"/>
      <c r="K100" s="5"/>
      <c r="L100" s="48"/>
      <c r="M100" s="5"/>
      <c r="N100" s="48"/>
      <c r="O100" s="5"/>
      <c r="P100" s="48"/>
      <c r="Q100" s="5"/>
      <c r="R100" s="48"/>
      <c r="S100" s="5"/>
      <c r="T100" s="65">
        <v>1</v>
      </c>
      <c r="U100" s="5">
        <v>2100</v>
      </c>
      <c r="V100" s="41"/>
      <c r="W100" s="5"/>
      <c r="X100" s="41"/>
      <c r="Y100" s="5"/>
      <c r="Z100" s="48">
        <v>1</v>
      </c>
      <c r="AA100" s="5">
        <v>895</v>
      </c>
      <c r="AB100" s="48"/>
      <c r="AC100" s="5"/>
      <c r="AD100" s="74"/>
      <c r="AE100" s="5"/>
      <c r="AF100" s="48"/>
      <c r="AG100" s="5"/>
      <c r="AH100" s="48"/>
      <c r="AI100" s="5"/>
      <c r="AJ100" s="48"/>
      <c r="AK100" s="5"/>
      <c r="AL100" s="48"/>
      <c r="AM100" s="5"/>
      <c r="AN100" s="48"/>
      <c r="AO100" s="5"/>
      <c r="AP100" s="48"/>
      <c r="AQ100" s="5"/>
      <c r="AR100" s="48">
        <v>1</v>
      </c>
      <c r="AS100" s="5">
        <v>300</v>
      </c>
      <c r="AT100" s="48">
        <v>1</v>
      </c>
      <c r="AU100" s="5">
        <v>900</v>
      </c>
      <c r="AV100" s="65"/>
      <c r="AW100" s="5"/>
      <c r="AX100" s="48"/>
      <c r="AY100" s="5"/>
      <c r="AZ100" s="48"/>
      <c r="BA100" s="5"/>
      <c r="BB100" s="48"/>
      <c r="BC100" s="5"/>
      <c r="BD100" s="48"/>
      <c r="BE100" s="5"/>
      <c r="BF100" s="48"/>
      <c r="BG100" s="5"/>
      <c r="BH100" s="48"/>
      <c r="BI100" s="5"/>
      <c r="BJ100" s="48"/>
      <c r="BK100" s="5"/>
      <c r="BL100" s="48"/>
      <c r="BM100" s="5"/>
      <c r="BN100" s="65"/>
      <c r="BO100" s="5"/>
      <c r="BP100" s="128"/>
      <c r="BQ100" s="5"/>
      <c r="BR100" s="4"/>
      <c r="BS100" s="134"/>
      <c r="BT100" s="48"/>
      <c r="BU100" s="86"/>
      <c r="BV100" s="48"/>
      <c r="BW100" s="5"/>
      <c r="BX100" s="74"/>
      <c r="BY100" s="5"/>
      <c r="BZ100" s="48"/>
      <c r="CA100" s="5"/>
      <c r="CB100" s="48"/>
      <c r="CC100" s="5"/>
      <c r="CD100" s="4"/>
      <c r="CE100" s="5"/>
      <c r="CF100" s="48"/>
      <c r="CG100" s="5"/>
      <c r="CH100" s="48"/>
      <c r="CI100" s="5"/>
      <c r="CJ100" s="48"/>
      <c r="CK100" s="5"/>
      <c r="CL100" s="74">
        <v>1</v>
      </c>
      <c r="CM100" s="5">
        <v>2000</v>
      </c>
      <c r="CN100" s="74"/>
      <c r="CO100" s="5"/>
      <c r="CP100" s="48"/>
      <c r="CQ100" s="5"/>
      <c r="CR100" s="48"/>
      <c r="CS100" s="5"/>
      <c r="CT100" s="48"/>
      <c r="CU100" s="5"/>
      <c r="CV100" s="112">
        <f t="shared" si="42"/>
        <v>0</v>
      </c>
      <c r="CW100" s="86">
        <f t="shared" si="43"/>
        <v>0</v>
      </c>
      <c r="CX100" s="139"/>
      <c r="CY100" s="86"/>
      <c r="CZ100" s="4"/>
      <c r="DA100" s="5"/>
      <c r="DB100" s="112"/>
      <c r="DC100" s="86"/>
      <c r="DD100" s="6"/>
      <c r="DE100" s="7"/>
      <c r="DF100" s="51">
        <f t="shared" ref="DF100:DF124" si="44">B100+CZ100+DD100+D100+F100+H100+J100+L100+N100+P100+R100+T100+V100+X100+Z100+AB100+AD100+AF100+AH100+AJ100+AL100+AN100+AP100+AR100+AT100+AV100+AX100+AZ100+BB100+BD100+BF100+BH100+BJ100+BL100+BN100+BP100+BR100+BT100+BV100+BX100+BZ100+CB100+CD100+CF100+CH100+CJ100+CL100+CN100+CP100+CR100+CT100+CX100</f>
        <v>5</v>
      </c>
      <c r="DG100" s="7">
        <f t="shared" ref="DG100:DG124" si="45">C100+DA100+DE100+E100+G100+I100+K100+M100+O100+Q100+S100+U100+W100+Y100+AA100+AC100+AE100+AG100+AI100+AK100+AM100+AO100+AQ100+AS100+AU100+AW100+AY100+BA100+BC100+BE100+BG100+BI100+BK100+BM100+BO100+BQ100+BS100+BU100+BW100+BY100+CA100+CC100+CE100+CG100+CI100+CK100+CM100+CO100+CQ100+CS100+CU100+CY100</f>
        <v>6195</v>
      </c>
      <c r="DH100" s="143">
        <f>DF100+75</f>
        <v>80</v>
      </c>
      <c r="DI100" s="33">
        <f>DG100+79445</f>
        <v>85640</v>
      </c>
      <c r="DJ100" s="142"/>
      <c r="DK100" s="142"/>
      <c r="DL100" s="36"/>
    </row>
    <row r="101" spans="1:116" ht="31.5" hidden="1" x14ac:dyDescent="0.25">
      <c r="A101" s="4" t="s">
        <v>208</v>
      </c>
      <c r="B101" s="4"/>
      <c r="C101" s="5"/>
      <c r="D101" s="109"/>
      <c r="E101" s="5"/>
      <c r="F101" s="48"/>
      <c r="G101" s="5"/>
      <c r="H101" s="48"/>
      <c r="I101" s="5"/>
      <c r="J101" s="48"/>
      <c r="K101" s="5"/>
      <c r="L101" s="48"/>
      <c r="M101" s="5"/>
      <c r="N101" s="48"/>
      <c r="O101" s="5"/>
      <c r="P101" s="48"/>
      <c r="Q101" s="5"/>
      <c r="R101" s="48"/>
      <c r="S101" s="5"/>
      <c r="T101" s="65"/>
      <c r="U101" s="5"/>
      <c r="V101" s="41"/>
      <c r="W101" s="5"/>
      <c r="X101" s="41"/>
      <c r="Y101" s="5"/>
      <c r="Z101" s="48"/>
      <c r="AA101" s="5"/>
      <c r="AB101" s="48"/>
      <c r="AC101" s="5"/>
      <c r="AD101" s="74"/>
      <c r="AE101" s="5"/>
      <c r="AF101" s="48"/>
      <c r="AG101" s="5"/>
      <c r="AH101" s="48"/>
      <c r="AI101" s="5"/>
      <c r="AJ101" s="48"/>
      <c r="AK101" s="5"/>
      <c r="AL101" s="48"/>
      <c r="AM101" s="5"/>
      <c r="AN101" s="48"/>
      <c r="AO101" s="5"/>
      <c r="AP101" s="48"/>
      <c r="AQ101" s="5"/>
      <c r="AR101" s="48"/>
      <c r="AS101" s="5"/>
      <c r="AT101" s="48"/>
      <c r="AU101" s="5"/>
      <c r="AV101" s="65"/>
      <c r="AW101" s="5"/>
      <c r="AX101" s="48"/>
      <c r="AY101" s="5"/>
      <c r="AZ101" s="48"/>
      <c r="BA101" s="5"/>
      <c r="BB101" s="48"/>
      <c r="BC101" s="5"/>
      <c r="BD101" s="48"/>
      <c r="BE101" s="5"/>
      <c r="BF101" s="48"/>
      <c r="BG101" s="5"/>
      <c r="BH101" s="48"/>
      <c r="BI101" s="5"/>
      <c r="BJ101" s="48"/>
      <c r="BK101" s="5"/>
      <c r="BL101" s="48"/>
      <c r="BM101" s="5"/>
      <c r="BN101" s="65"/>
      <c r="BO101" s="5"/>
      <c r="BP101" s="128"/>
      <c r="BQ101" s="5"/>
      <c r="BR101" s="4"/>
      <c r="BS101" s="134"/>
      <c r="BT101" s="48"/>
      <c r="BU101" s="86"/>
      <c r="BV101" s="48"/>
      <c r="BW101" s="5"/>
      <c r="BX101" s="74"/>
      <c r="BY101" s="5"/>
      <c r="BZ101" s="48"/>
      <c r="CA101" s="5"/>
      <c r="CB101" s="48"/>
      <c r="CC101" s="5"/>
      <c r="CD101" s="4"/>
      <c r="CE101" s="5"/>
      <c r="CF101" s="48"/>
      <c r="CG101" s="5"/>
      <c r="CH101" s="48"/>
      <c r="CI101" s="5"/>
      <c r="CJ101" s="48"/>
      <c r="CK101" s="5"/>
      <c r="CL101" s="74"/>
      <c r="CM101" s="5"/>
      <c r="CN101" s="74"/>
      <c r="CO101" s="5"/>
      <c r="CP101" s="48"/>
      <c r="CQ101" s="5"/>
      <c r="CR101" s="48"/>
      <c r="CS101" s="5"/>
      <c r="CT101" s="48"/>
      <c r="CU101" s="5"/>
      <c r="CV101" s="112">
        <f t="shared" si="42"/>
        <v>0</v>
      </c>
      <c r="CW101" s="86">
        <f t="shared" si="43"/>
        <v>0</v>
      </c>
      <c r="CX101" s="139"/>
      <c r="CY101" s="86"/>
      <c r="CZ101" s="4"/>
      <c r="DA101" s="5"/>
      <c r="DB101" s="112"/>
      <c r="DC101" s="86"/>
      <c r="DD101" s="6"/>
      <c r="DE101" s="7"/>
      <c r="DF101" s="51">
        <f t="shared" si="44"/>
        <v>0</v>
      </c>
      <c r="DG101" s="7">
        <f t="shared" si="45"/>
        <v>0</v>
      </c>
      <c r="DH101" s="32"/>
      <c r="DI101" s="33"/>
      <c r="DJ101" s="142"/>
      <c r="DK101" s="142"/>
      <c r="DL101" s="36"/>
    </row>
    <row r="102" spans="1:116" ht="13.5" customHeight="1" x14ac:dyDescent="0.25">
      <c r="A102" s="4" t="s">
        <v>45</v>
      </c>
      <c r="B102" s="4"/>
      <c r="C102" s="5"/>
      <c r="D102" s="109"/>
      <c r="E102" s="5"/>
      <c r="F102" s="48"/>
      <c r="G102" s="5"/>
      <c r="H102" s="48"/>
      <c r="I102" s="5"/>
      <c r="J102" s="48"/>
      <c r="K102" s="5"/>
      <c r="L102" s="48"/>
      <c r="M102" s="5"/>
      <c r="N102" s="48"/>
      <c r="O102" s="5"/>
      <c r="P102" s="48"/>
      <c r="Q102" s="5"/>
      <c r="R102" s="48"/>
      <c r="S102" s="5"/>
      <c r="T102" s="65"/>
      <c r="U102" s="5"/>
      <c r="V102" s="41"/>
      <c r="W102" s="5"/>
      <c r="X102" s="41">
        <v>1</v>
      </c>
      <c r="Y102" s="5">
        <v>5000</v>
      </c>
      <c r="Z102" s="48"/>
      <c r="AA102" s="5"/>
      <c r="AB102" s="48"/>
      <c r="AC102" s="5"/>
      <c r="AD102" s="74"/>
      <c r="AE102" s="5"/>
      <c r="AF102" s="48"/>
      <c r="AG102" s="5"/>
      <c r="AH102" s="48"/>
      <c r="AI102" s="5"/>
      <c r="AJ102" s="48">
        <v>1</v>
      </c>
      <c r="AK102" s="5">
        <v>175</v>
      </c>
      <c r="AL102" s="48"/>
      <c r="AM102" s="5"/>
      <c r="AN102" s="48"/>
      <c r="AO102" s="5"/>
      <c r="AP102" s="48"/>
      <c r="AQ102" s="5"/>
      <c r="AR102" s="48"/>
      <c r="AS102" s="5"/>
      <c r="AT102" s="48"/>
      <c r="AU102" s="5"/>
      <c r="AV102" s="65"/>
      <c r="AW102" s="5"/>
      <c r="AX102" s="48"/>
      <c r="AY102" s="5"/>
      <c r="AZ102" s="48"/>
      <c r="BA102" s="5"/>
      <c r="BB102" s="48"/>
      <c r="BC102" s="5"/>
      <c r="BD102" s="48"/>
      <c r="BE102" s="5"/>
      <c r="BF102" s="48"/>
      <c r="BG102" s="5"/>
      <c r="BH102" s="48"/>
      <c r="BI102" s="5"/>
      <c r="BJ102" s="48"/>
      <c r="BK102" s="5"/>
      <c r="BL102" s="48"/>
      <c r="BM102" s="5"/>
      <c r="BN102" s="65"/>
      <c r="BO102" s="5"/>
      <c r="BP102" s="128"/>
      <c r="BQ102" s="5"/>
      <c r="BR102" s="4"/>
      <c r="BS102" s="134"/>
      <c r="BT102" s="48"/>
      <c r="BU102" s="86"/>
      <c r="BV102" s="48"/>
      <c r="BW102" s="5"/>
      <c r="BX102" s="74"/>
      <c r="BY102" s="5"/>
      <c r="BZ102" s="48"/>
      <c r="CA102" s="5"/>
      <c r="CB102" s="48"/>
      <c r="CC102" s="5"/>
      <c r="CD102" s="4"/>
      <c r="CE102" s="5"/>
      <c r="CF102" s="48"/>
      <c r="CG102" s="5"/>
      <c r="CH102" s="48"/>
      <c r="CI102" s="5"/>
      <c r="CJ102" s="48"/>
      <c r="CK102" s="5"/>
      <c r="CL102" s="74"/>
      <c r="CM102" s="5"/>
      <c r="CN102" s="74"/>
      <c r="CO102" s="5"/>
      <c r="CP102" s="48">
        <v>1</v>
      </c>
      <c r="CQ102" s="5">
        <v>3500</v>
      </c>
      <c r="CR102" s="48"/>
      <c r="CS102" s="5"/>
      <c r="CT102" s="48"/>
      <c r="CU102" s="5"/>
      <c r="CV102" s="112">
        <f t="shared" si="42"/>
        <v>1</v>
      </c>
      <c r="CW102" s="86">
        <f t="shared" si="43"/>
        <v>3500</v>
      </c>
      <c r="CX102" s="139"/>
      <c r="CY102" s="86"/>
      <c r="CZ102" s="4"/>
      <c r="DA102" s="5"/>
      <c r="DB102" s="112"/>
      <c r="DC102" s="86"/>
      <c r="DD102" s="6"/>
      <c r="DE102" s="7"/>
      <c r="DF102" s="51">
        <f t="shared" si="44"/>
        <v>3</v>
      </c>
      <c r="DG102" s="7">
        <f t="shared" si="45"/>
        <v>8675</v>
      </c>
      <c r="DH102" s="32">
        <f>DF102+36</f>
        <v>39</v>
      </c>
      <c r="DI102" s="33">
        <f>DG102+49010</f>
        <v>57685</v>
      </c>
      <c r="DJ102" s="142"/>
      <c r="DK102" s="142"/>
      <c r="DL102" s="36"/>
    </row>
    <row r="103" spans="1:116" ht="31.5" hidden="1" x14ac:dyDescent="0.25">
      <c r="A103" s="95" t="s">
        <v>218</v>
      </c>
      <c r="B103" s="4"/>
      <c r="C103" s="5"/>
      <c r="D103" s="109"/>
      <c r="E103" s="5"/>
      <c r="F103" s="48"/>
      <c r="G103" s="5"/>
      <c r="H103" s="48"/>
      <c r="I103" s="5"/>
      <c r="J103" s="48"/>
      <c r="K103" s="5"/>
      <c r="L103" s="48"/>
      <c r="M103" s="5"/>
      <c r="N103" s="48"/>
      <c r="O103" s="5"/>
      <c r="P103" s="48"/>
      <c r="Q103" s="5"/>
      <c r="R103" s="48"/>
      <c r="S103" s="5"/>
      <c r="T103" s="65"/>
      <c r="U103" s="5"/>
      <c r="V103" s="41"/>
      <c r="W103" s="5"/>
      <c r="X103" s="41"/>
      <c r="Y103" s="5"/>
      <c r="Z103" s="48"/>
      <c r="AA103" s="5"/>
      <c r="AB103" s="48"/>
      <c r="AC103" s="5"/>
      <c r="AD103" s="74"/>
      <c r="AE103" s="5"/>
      <c r="AF103" s="48"/>
      <c r="AG103" s="5"/>
      <c r="AH103" s="48"/>
      <c r="AI103" s="5"/>
      <c r="AJ103" s="48"/>
      <c r="AK103" s="5"/>
      <c r="AL103" s="48"/>
      <c r="AM103" s="5"/>
      <c r="AN103" s="48"/>
      <c r="AO103" s="5"/>
      <c r="AP103" s="48"/>
      <c r="AQ103" s="5"/>
      <c r="AR103" s="48"/>
      <c r="AS103" s="5"/>
      <c r="AT103" s="48"/>
      <c r="AU103" s="5"/>
      <c r="AV103" s="65"/>
      <c r="AW103" s="5"/>
      <c r="AX103" s="48"/>
      <c r="AY103" s="5"/>
      <c r="AZ103" s="48"/>
      <c r="BA103" s="5"/>
      <c r="BB103" s="48"/>
      <c r="BC103" s="5"/>
      <c r="BD103" s="48"/>
      <c r="BE103" s="5"/>
      <c r="BF103" s="48"/>
      <c r="BG103" s="5"/>
      <c r="BH103" s="48"/>
      <c r="BI103" s="5"/>
      <c r="BJ103" s="48"/>
      <c r="BK103" s="5"/>
      <c r="BL103" s="48"/>
      <c r="BM103" s="5"/>
      <c r="BN103" s="65"/>
      <c r="BO103" s="5"/>
      <c r="BP103" s="128"/>
      <c r="BQ103" s="5"/>
      <c r="BR103" s="4"/>
      <c r="BS103" s="134"/>
      <c r="BT103" s="48"/>
      <c r="BU103" s="86"/>
      <c r="BV103" s="48"/>
      <c r="BW103" s="5"/>
      <c r="BX103" s="74"/>
      <c r="BY103" s="5"/>
      <c r="BZ103" s="48"/>
      <c r="CA103" s="5"/>
      <c r="CB103" s="48"/>
      <c r="CC103" s="5"/>
      <c r="CD103" s="4"/>
      <c r="CE103" s="5"/>
      <c r="CF103" s="48"/>
      <c r="CG103" s="5"/>
      <c r="CH103" s="48"/>
      <c r="CI103" s="5"/>
      <c r="CJ103" s="48"/>
      <c r="CK103" s="5"/>
      <c r="CL103" s="74"/>
      <c r="CM103" s="5"/>
      <c r="CN103" s="74"/>
      <c r="CO103" s="5"/>
      <c r="CP103" s="48"/>
      <c r="CQ103" s="5"/>
      <c r="CR103" s="48"/>
      <c r="CS103" s="5"/>
      <c r="CT103" s="48"/>
      <c r="CU103" s="5"/>
      <c r="CV103" s="112">
        <f t="shared" si="42"/>
        <v>0</v>
      </c>
      <c r="CW103" s="86">
        <f t="shared" si="43"/>
        <v>0</v>
      </c>
      <c r="CX103" s="139"/>
      <c r="CY103" s="86"/>
      <c r="CZ103" s="4"/>
      <c r="DA103" s="5"/>
      <c r="DB103" s="112"/>
      <c r="DC103" s="86"/>
      <c r="DD103" s="6"/>
      <c r="DE103" s="7"/>
      <c r="DF103" s="51">
        <f t="shared" si="44"/>
        <v>0</v>
      </c>
      <c r="DG103" s="7">
        <f t="shared" si="45"/>
        <v>0</v>
      </c>
      <c r="DH103" s="32"/>
      <c r="DI103" s="33"/>
      <c r="DJ103" s="142"/>
      <c r="DK103" s="142"/>
      <c r="DL103" s="36"/>
    </row>
    <row r="104" spans="1:116" ht="14.25" customHeight="1" x14ac:dyDescent="0.25">
      <c r="A104" s="4" t="s">
        <v>46</v>
      </c>
      <c r="B104" s="4"/>
      <c r="C104" s="5"/>
      <c r="D104" s="109"/>
      <c r="E104" s="5"/>
      <c r="F104" s="48"/>
      <c r="G104" s="5"/>
      <c r="H104" s="48"/>
      <c r="I104" s="5"/>
      <c r="J104" s="48"/>
      <c r="K104" s="5"/>
      <c r="L104" s="48"/>
      <c r="M104" s="5"/>
      <c r="N104" s="48"/>
      <c r="O104" s="5"/>
      <c r="P104" s="48"/>
      <c r="Q104" s="5"/>
      <c r="R104" s="48"/>
      <c r="S104" s="5"/>
      <c r="T104" s="65"/>
      <c r="U104" s="5"/>
      <c r="V104" s="41"/>
      <c r="W104" s="5"/>
      <c r="X104" s="41"/>
      <c r="Y104" s="5"/>
      <c r="Z104" s="48">
        <v>1</v>
      </c>
      <c r="AA104" s="5">
        <v>3000</v>
      </c>
      <c r="AB104" s="48"/>
      <c r="AC104" s="5"/>
      <c r="AD104" s="74"/>
      <c r="AE104" s="5"/>
      <c r="AF104" s="48"/>
      <c r="AG104" s="5"/>
      <c r="AH104" s="48"/>
      <c r="AI104" s="5"/>
      <c r="AJ104" s="48">
        <v>1</v>
      </c>
      <c r="AK104" s="5">
        <v>450</v>
      </c>
      <c r="AL104" s="48"/>
      <c r="AM104" s="5"/>
      <c r="AN104" s="48"/>
      <c r="AO104" s="5"/>
      <c r="AP104" s="48"/>
      <c r="AQ104" s="5"/>
      <c r="AR104" s="48">
        <v>1</v>
      </c>
      <c r="AS104" s="5">
        <v>300</v>
      </c>
      <c r="AT104" s="48"/>
      <c r="AU104" s="5"/>
      <c r="AV104" s="65"/>
      <c r="AW104" s="5"/>
      <c r="AX104" s="48"/>
      <c r="AY104" s="5"/>
      <c r="AZ104" s="48"/>
      <c r="BA104" s="5"/>
      <c r="BB104" s="48"/>
      <c r="BC104" s="5"/>
      <c r="BD104" s="48"/>
      <c r="BE104" s="5"/>
      <c r="BF104" s="48"/>
      <c r="BG104" s="5"/>
      <c r="BH104" s="48"/>
      <c r="BI104" s="5"/>
      <c r="BJ104" s="48"/>
      <c r="BK104" s="5"/>
      <c r="BL104" s="48"/>
      <c r="BM104" s="5"/>
      <c r="BN104" s="65"/>
      <c r="BO104" s="5"/>
      <c r="BP104" s="128"/>
      <c r="BQ104" s="5"/>
      <c r="BR104" s="4"/>
      <c r="BS104" s="134"/>
      <c r="BT104" s="48"/>
      <c r="BU104" s="86"/>
      <c r="BV104" s="48"/>
      <c r="BW104" s="5"/>
      <c r="BX104" s="74"/>
      <c r="BY104" s="5"/>
      <c r="BZ104" s="48"/>
      <c r="CA104" s="5"/>
      <c r="CB104" s="48"/>
      <c r="CC104" s="5"/>
      <c r="CD104" s="4"/>
      <c r="CE104" s="5"/>
      <c r="CF104" s="48"/>
      <c r="CG104" s="5"/>
      <c r="CH104" s="48"/>
      <c r="CI104" s="5"/>
      <c r="CJ104" s="48"/>
      <c r="CK104" s="5"/>
      <c r="CL104" s="74"/>
      <c r="CM104" s="5"/>
      <c r="CN104" s="74"/>
      <c r="CO104" s="5"/>
      <c r="CP104" s="48"/>
      <c r="CQ104" s="5"/>
      <c r="CR104" s="48"/>
      <c r="CS104" s="5"/>
      <c r="CT104" s="48"/>
      <c r="CU104" s="5"/>
      <c r="CV104" s="112">
        <f t="shared" si="42"/>
        <v>0</v>
      </c>
      <c r="CW104" s="86">
        <f t="shared" si="43"/>
        <v>0</v>
      </c>
      <c r="CX104" s="139"/>
      <c r="CY104" s="86"/>
      <c r="CZ104" s="4"/>
      <c r="DA104" s="5"/>
      <c r="DB104" s="112"/>
      <c r="DC104" s="86"/>
      <c r="DD104" s="6"/>
      <c r="DE104" s="7"/>
      <c r="DF104" s="51">
        <f t="shared" si="44"/>
        <v>3</v>
      </c>
      <c r="DG104" s="7">
        <f t="shared" si="45"/>
        <v>3750</v>
      </c>
      <c r="DH104" s="32">
        <f>DF104+1</f>
        <v>4</v>
      </c>
      <c r="DI104" s="33">
        <f>DG104+500</f>
        <v>4250</v>
      </c>
      <c r="DJ104" s="142"/>
      <c r="DK104" s="142"/>
      <c r="DL104" s="36"/>
    </row>
    <row r="105" spans="1:116" ht="15.75" hidden="1" customHeight="1" x14ac:dyDescent="0.25">
      <c r="A105" s="4" t="s">
        <v>144</v>
      </c>
      <c r="B105" s="4"/>
      <c r="C105" s="5"/>
      <c r="D105" s="109"/>
      <c r="E105" s="5"/>
      <c r="F105" s="48"/>
      <c r="G105" s="5"/>
      <c r="H105" s="48"/>
      <c r="I105" s="5"/>
      <c r="J105" s="48"/>
      <c r="K105" s="5"/>
      <c r="L105" s="48"/>
      <c r="M105" s="5"/>
      <c r="N105" s="48"/>
      <c r="O105" s="5"/>
      <c r="P105" s="48"/>
      <c r="Q105" s="5"/>
      <c r="R105" s="48"/>
      <c r="S105" s="5"/>
      <c r="T105" s="65"/>
      <c r="U105" s="5"/>
      <c r="V105" s="41"/>
      <c r="W105" s="5"/>
      <c r="X105" s="41"/>
      <c r="Y105" s="5"/>
      <c r="Z105" s="48"/>
      <c r="AA105" s="5"/>
      <c r="AB105" s="48"/>
      <c r="AC105" s="5"/>
      <c r="AD105" s="74"/>
      <c r="AE105" s="5"/>
      <c r="AF105" s="48"/>
      <c r="AG105" s="5"/>
      <c r="AH105" s="48"/>
      <c r="AI105" s="5"/>
      <c r="AJ105" s="48"/>
      <c r="AK105" s="5"/>
      <c r="AL105" s="48"/>
      <c r="AM105" s="5"/>
      <c r="AN105" s="48"/>
      <c r="AO105" s="5"/>
      <c r="AP105" s="48"/>
      <c r="AQ105" s="5"/>
      <c r="AR105" s="48"/>
      <c r="AS105" s="5"/>
      <c r="AT105" s="48"/>
      <c r="AU105" s="5"/>
      <c r="AV105" s="65"/>
      <c r="AW105" s="5"/>
      <c r="AX105" s="48"/>
      <c r="AY105" s="5"/>
      <c r="AZ105" s="48"/>
      <c r="BA105" s="5"/>
      <c r="BB105" s="48"/>
      <c r="BC105" s="5"/>
      <c r="BD105" s="48"/>
      <c r="BE105" s="5"/>
      <c r="BF105" s="48"/>
      <c r="BG105" s="5"/>
      <c r="BH105" s="48"/>
      <c r="BI105" s="5"/>
      <c r="BJ105" s="48"/>
      <c r="BK105" s="5"/>
      <c r="BL105" s="48"/>
      <c r="BM105" s="5"/>
      <c r="BN105" s="65"/>
      <c r="BO105" s="5"/>
      <c r="BP105" s="128"/>
      <c r="BQ105" s="5"/>
      <c r="BR105" s="4"/>
      <c r="BS105" s="134"/>
      <c r="BT105" s="48"/>
      <c r="BU105" s="86"/>
      <c r="BV105" s="48"/>
      <c r="BW105" s="5"/>
      <c r="BX105" s="74"/>
      <c r="BY105" s="5"/>
      <c r="BZ105" s="48"/>
      <c r="CA105" s="5"/>
      <c r="CB105" s="48"/>
      <c r="CC105" s="5"/>
      <c r="CD105" s="4"/>
      <c r="CE105" s="5"/>
      <c r="CF105" s="48"/>
      <c r="CG105" s="5"/>
      <c r="CH105" s="48"/>
      <c r="CI105" s="5"/>
      <c r="CJ105" s="48"/>
      <c r="CK105" s="5"/>
      <c r="CL105" s="74"/>
      <c r="CM105" s="5"/>
      <c r="CN105" s="74"/>
      <c r="CO105" s="5"/>
      <c r="CP105" s="48"/>
      <c r="CQ105" s="5"/>
      <c r="CR105" s="48"/>
      <c r="CS105" s="5"/>
      <c r="CT105" s="48"/>
      <c r="CU105" s="5"/>
      <c r="CV105" s="112">
        <f t="shared" si="42"/>
        <v>0</v>
      </c>
      <c r="CW105" s="86">
        <f t="shared" si="43"/>
        <v>0</v>
      </c>
      <c r="CX105" s="139"/>
      <c r="CY105" s="86"/>
      <c r="CZ105" s="4"/>
      <c r="DA105" s="5"/>
      <c r="DB105" s="112"/>
      <c r="DC105" s="86"/>
      <c r="DD105" s="6"/>
      <c r="DE105" s="7"/>
      <c r="DF105" s="51">
        <f t="shared" si="44"/>
        <v>0</v>
      </c>
      <c r="DG105" s="7">
        <f t="shared" si="45"/>
        <v>0</v>
      </c>
      <c r="DH105" s="32"/>
      <c r="DI105" s="33"/>
      <c r="DJ105" s="142"/>
      <c r="DK105" s="142"/>
      <c r="DL105" s="36"/>
    </row>
    <row r="106" spans="1:116" x14ac:dyDescent="0.25">
      <c r="A106" s="4" t="s">
        <v>65</v>
      </c>
      <c r="B106" s="4"/>
      <c r="C106" s="5"/>
      <c r="D106" s="109"/>
      <c r="E106" s="5"/>
      <c r="F106" s="48"/>
      <c r="G106" s="5"/>
      <c r="H106" s="48"/>
      <c r="I106" s="5"/>
      <c r="J106" s="48"/>
      <c r="K106" s="5"/>
      <c r="L106" s="48"/>
      <c r="M106" s="5"/>
      <c r="N106" s="48"/>
      <c r="O106" s="5"/>
      <c r="P106" s="48"/>
      <c r="Q106" s="5"/>
      <c r="R106" s="48"/>
      <c r="S106" s="5"/>
      <c r="T106" s="65"/>
      <c r="U106" s="5"/>
      <c r="V106" s="41"/>
      <c r="W106" s="5"/>
      <c r="X106" s="41"/>
      <c r="Y106" s="5"/>
      <c r="Z106" s="48"/>
      <c r="AA106" s="5"/>
      <c r="AB106" s="48"/>
      <c r="AC106" s="5"/>
      <c r="AD106" s="74"/>
      <c r="AE106" s="5"/>
      <c r="AF106" s="48"/>
      <c r="AG106" s="5"/>
      <c r="AH106" s="48"/>
      <c r="AI106" s="5"/>
      <c r="AJ106" s="48"/>
      <c r="AK106" s="5"/>
      <c r="AL106" s="48"/>
      <c r="AM106" s="5"/>
      <c r="AN106" s="48"/>
      <c r="AO106" s="5"/>
      <c r="AP106" s="48"/>
      <c r="AQ106" s="5"/>
      <c r="AR106" s="48"/>
      <c r="AS106" s="5"/>
      <c r="AT106" s="48"/>
      <c r="AU106" s="5"/>
      <c r="AV106" s="65"/>
      <c r="AW106" s="5"/>
      <c r="AX106" s="48"/>
      <c r="AY106" s="5"/>
      <c r="AZ106" s="48"/>
      <c r="BA106" s="5"/>
      <c r="BB106" s="48"/>
      <c r="BC106" s="5"/>
      <c r="BD106" s="48"/>
      <c r="BE106" s="5"/>
      <c r="BF106" s="48"/>
      <c r="BG106" s="5"/>
      <c r="BH106" s="48"/>
      <c r="BI106" s="5"/>
      <c r="BJ106" s="48"/>
      <c r="BK106" s="5"/>
      <c r="BL106" s="48"/>
      <c r="BM106" s="5"/>
      <c r="BN106" s="65"/>
      <c r="BO106" s="5"/>
      <c r="BP106" s="128"/>
      <c r="BQ106" s="5"/>
      <c r="BR106" s="4"/>
      <c r="BS106" s="134"/>
      <c r="BT106" s="48"/>
      <c r="BU106" s="86"/>
      <c r="BV106" s="48"/>
      <c r="BW106" s="5"/>
      <c r="BX106" s="74"/>
      <c r="BY106" s="5"/>
      <c r="BZ106" s="48"/>
      <c r="CA106" s="5"/>
      <c r="CB106" s="48"/>
      <c r="CC106" s="5"/>
      <c r="CD106" s="4"/>
      <c r="CE106" s="5"/>
      <c r="CF106" s="48"/>
      <c r="CG106" s="5"/>
      <c r="CH106" s="48"/>
      <c r="CI106" s="5"/>
      <c r="CJ106" s="48"/>
      <c r="CK106" s="5"/>
      <c r="CL106" s="74"/>
      <c r="CM106" s="5"/>
      <c r="CN106" s="74"/>
      <c r="CO106" s="5"/>
      <c r="CP106" s="48"/>
      <c r="CQ106" s="5"/>
      <c r="CR106" s="48"/>
      <c r="CS106" s="5"/>
      <c r="CT106" s="48"/>
      <c r="CU106" s="5"/>
      <c r="CV106" s="112">
        <f t="shared" si="42"/>
        <v>0</v>
      </c>
      <c r="CW106" s="86">
        <f t="shared" si="43"/>
        <v>0</v>
      </c>
      <c r="CX106" s="139"/>
      <c r="CY106" s="86"/>
      <c r="CZ106" s="4"/>
      <c r="DA106" s="5"/>
      <c r="DB106" s="112"/>
      <c r="DC106" s="86"/>
      <c r="DD106" s="6"/>
      <c r="DE106" s="7"/>
      <c r="DF106" s="51">
        <f t="shared" si="44"/>
        <v>0</v>
      </c>
      <c r="DG106" s="7">
        <f t="shared" si="45"/>
        <v>0</v>
      </c>
      <c r="DH106" s="32">
        <f>DF106</f>
        <v>0</v>
      </c>
      <c r="DI106" s="33">
        <f>DG106</f>
        <v>0</v>
      </c>
      <c r="DJ106" s="142"/>
      <c r="DK106" s="142"/>
      <c r="DL106" s="36"/>
    </row>
    <row r="107" spans="1:116" ht="15.75" hidden="1" customHeight="1" x14ac:dyDescent="0.25">
      <c r="A107" s="4"/>
      <c r="B107" s="4"/>
      <c r="C107" s="5"/>
      <c r="D107" s="109"/>
      <c r="E107" s="5"/>
      <c r="F107" s="48"/>
      <c r="G107" s="5"/>
      <c r="H107" s="48"/>
      <c r="I107" s="5"/>
      <c r="J107" s="48"/>
      <c r="K107" s="5"/>
      <c r="L107" s="48"/>
      <c r="M107" s="5"/>
      <c r="N107" s="48"/>
      <c r="O107" s="5"/>
      <c r="P107" s="48"/>
      <c r="Q107" s="5"/>
      <c r="R107" s="48"/>
      <c r="S107" s="5"/>
      <c r="T107" s="65"/>
      <c r="U107" s="5"/>
      <c r="V107" s="41"/>
      <c r="W107" s="5"/>
      <c r="X107" s="41"/>
      <c r="Y107" s="5"/>
      <c r="Z107" s="48"/>
      <c r="AA107" s="5"/>
      <c r="AB107" s="48"/>
      <c r="AC107" s="5"/>
      <c r="AD107" s="74"/>
      <c r="AE107" s="5"/>
      <c r="AF107" s="48"/>
      <c r="AG107" s="5"/>
      <c r="AH107" s="48"/>
      <c r="AI107" s="5"/>
      <c r="AJ107" s="48"/>
      <c r="AK107" s="5"/>
      <c r="AL107" s="48"/>
      <c r="AM107" s="5"/>
      <c r="AN107" s="48"/>
      <c r="AO107" s="5"/>
      <c r="AP107" s="48"/>
      <c r="AQ107" s="5"/>
      <c r="AR107" s="48"/>
      <c r="AS107" s="5"/>
      <c r="AT107" s="48"/>
      <c r="AU107" s="5"/>
      <c r="AV107" s="65"/>
      <c r="AW107" s="5"/>
      <c r="AX107" s="48"/>
      <c r="AY107" s="5"/>
      <c r="AZ107" s="48"/>
      <c r="BA107" s="5"/>
      <c r="BB107" s="48"/>
      <c r="BC107" s="5"/>
      <c r="BD107" s="48"/>
      <c r="BE107" s="5"/>
      <c r="BF107" s="48"/>
      <c r="BG107" s="5"/>
      <c r="BH107" s="48"/>
      <c r="BI107" s="5"/>
      <c r="BJ107" s="48"/>
      <c r="BK107" s="5"/>
      <c r="BL107" s="48"/>
      <c r="BM107" s="5"/>
      <c r="BN107" s="65"/>
      <c r="BO107" s="5"/>
      <c r="BP107" s="128"/>
      <c r="BQ107" s="5"/>
      <c r="BR107" s="4"/>
      <c r="BS107" s="134"/>
      <c r="BT107" s="48"/>
      <c r="BU107" s="86"/>
      <c r="BV107" s="48"/>
      <c r="BW107" s="5"/>
      <c r="BX107" s="74"/>
      <c r="BY107" s="5"/>
      <c r="BZ107" s="48"/>
      <c r="CA107" s="5"/>
      <c r="CB107" s="48"/>
      <c r="CC107" s="5"/>
      <c r="CD107" s="4"/>
      <c r="CE107" s="5"/>
      <c r="CF107" s="48"/>
      <c r="CG107" s="5"/>
      <c r="CH107" s="48"/>
      <c r="CI107" s="5"/>
      <c r="CJ107" s="48"/>
      <c r="CK107" s="5"/>
      <c r="CL107" s="74"/>
      <c r="CM107" s="5"/>
      <c r="CN107" s="74"/>
      <c r="CO107" s="5"/>
      <c r="CP107" s="48"/>
      <c r="CQ107" s="5"/>
      <c r="CR107" s="48"/>
      <c r="CS107" s="5"/>
      <c r="CT107" s="48"/>
      <c r="CU107" s="5"/>
      <c r="CV107" s="112">
        <f t="shared" si="42"/>
        <v>0</v>
      </c>
      <c r="CW107" s="86">
        <f t="shared" si="43"/>
        <v>0</v>
      </c>
      <c r="CX107" s="139"/>
      <c r="CY107" s="86"/>
      <c r="CZ107" s="4"/>
      <c r="DA107" s="5"/>
      <c r="DB107" s="112"/>
      <c r="DC107" s="86"/>
      <c r="DD107" s="6"/>
      <c r="DE107" s="7"/>
      <c r="DF107" s="51">
        <f t="shared" si="44"/>
        <v>0</v>
      </c>
      <c r="DG107" s="7">
        <f t="shared" si="45"/>
        <v>0</v>
      </c>
      <c r="DH107" s="32"/>
      <c r="DI107" s="33"/>
      <c r="DJ107" s="142"/>
      <c r="DK107" s="142"/>
      <c r="DL107" s="36"/>
    </row>
    <row r="108" spans="1:116" ht="12" customHeight="1" x14ac:dyDescent="0.25">
      <c r="A108" s="4" t="s">
        <v>47</v>
      </c>
      <c r="B108" s="4"/>
      <c r="C108" s="5"/>
      <c r="D108" s="109"/>
      <c r="E108" s="5"/>
      <c r="F108" s="48"/>
      <c r="G108" s="5"/>
      <c r="H108" s="48"/>
      <c r="I108" s="5"/>
      <c r="J108" s="48"/>
      <c r="K108" s="5"/>
      <c r="L108" s="48"/>
      <c r="M108" s="5"/>
      <c r="N108" s="48"/>
      <c r="O108" s="5"/>
      <c r="P108" s="48"/>
      <c r="Q108" s="5"/>
      <c r="R108" s="48"/>
      <c r="S108" s="5"/>
      <c r="T108" s="65"/>
      <c r="U108" s="5"/>
      <c r="V108" s="41">
        <v>1</v>
      </c>
      <c r="W108" s="5">
        <v>2000</v>
      </c>
      <c r="X108" s="41"/>
      <c r="Y108" s="5"/>
      <c r="Z108" s="48"/>
      <c r="AA108" s="5"/>
      <c r="AB108" s="48"/>
      <c r="AC108" s="5"/>
      <c r="AD108" s="74"/>
      <c r="AE108" s="5"/>
      <c r="AF108" s="48">
        <v>1</v>
      </c>
      <c r="AG108" s="5">
        <v>1000</v>
      </c>
      <c r="AH108" s="48">
        <v>1</v>
      </c>
      <c r="AI108" s="5">
        <v>1000</v>
      </c>
      <c r="AJ108" s="48"/>
      <c r="AK108" s="5"/>
      <c r="AL108" s="48"/>
      <c r="AM108" s="5"/>
      <c r="AN108" s="48"/>
      <c r="AO108" s="5"/>
      <c r="AP108" s="48"/>
      <c r="AQ108" s="5"/>
      <c r="AR108" s="48"/>
      <c r="AS108" s="5"/>
      <c r="AT108" s="48"/>
      <c r="AU108" s="5"/>
      <c r="AV108" s="65"/>
      <c r="AW108" s="5"/>
      <c r="AX108" s="48"/>
      <c r="AY108" s="5"/>
      <c r="AZ108" s="48"/>
      <c r="BA108" s="5"/>
      <c r="BB108" s="48"/>
      <c r="BC108" s="5"/>
      <c r="BD108" s="48"/>
      <c r="BE108" s="5"/>
      <c r="BF108" s="48"/>
      <c r="BG108" s="5"/>
      <c r="BH108" s="48"/>
      <c r="BI108" s="5"/>
      <c r="BJ108" s="48"/>
      <c r="BK108" s="5"/>
      <c r="BL108" s="48"/>
      <c r="BM108" s="5"/>
      <c r="BN108" s="65"/>
      <c r="BO108" s="5"/>
      <c r="BP108" s="128"/>
      <c r="BQ108" s="5"/>
      <c r="BR108" s="4"/>
      <c r="BS108" s="134"/>
      <c r="BT108" s="48"/>
      <c r="BU108" s="86"/>
      <c r="BV108" s="48"/>
      <c r="BW108" s="5"/>
      <c r="BX108" s="74"/>
      <c r="BY108" s="5"/>
      <c r="BZ108" s="48"/>
      <c r="CA108" s="5"/>
      <c r="CB108" s="48"/>
      <c r="CC108" s="5"/>
      <c r="CD108" s="4"/>
      <c r="CE108" s="5"/>
      <c r="CF108" s="48"/>
      <c r="CG108" s="5"/>
      <c r="CH108" s="48"/>
      <c r="CI108" s="5"/>
      <c r="CJ108" s="48"/>
      <c r="CK108" s="5"/>
      <c r="CL108" s="74"/>
      <c r="CM108" s="5"/>
      <c r="CN108" s="74"/>
      <c r="CO108" s="5"/>
      <c r="CP108" s="48"/>
      <c r="CQ108" s="5"/>
      <c r="CR108" s="48"/>
      <c r="CS108" s="5"/>
      <c r="CT108" s="48"/>
      <c r="CU108" s="5"/>
      <c r="CV108" s="112">
        <f t="shared" si="42"/>
        <v>0</v>
      </c>
      <c r="CW108" s="86">
        <f t="shared" si="43"/>
        <v>0</v>
      </c>
      <c r="CX108" s="139"/>
      <c r="CY108" s="86"/>
      <c r="CZ108" s="4"/>
      <c r="DA108" s="5"/>
      <c r="DB108" s="112"/>
      <c r="DC108" s="86"/>
      <c r="DD108" s="6"/>
      <c r="DE108" s="7"/>
      <c r="DF108" s="51">
        <f t="shared" si="44"/>
        <v>3</v>
      </c>
      <c r="DG108" s="7">
        <f t="shared" si="45"/>
        <v>4000</v>
      </c>
      <c r="DH108" s="32">
        <f>DF108+22</f>
        <v>25</v>
      </c>
      <c r="DI108" s="33">
        <f>DG108+15086</f>
        <v>19086</v>
      </c>
      <c r="DJ108" s="142"/>
      <c r="DK108" s="142"/>
      <c r="DL108" s="36"/>
    </row>
    <row r="109" spans="1:116" ht="31.5" hidden="1" x14ac:dyDescent="0.25">
      <c r="A109" s="4" t="s">
        <v>128</v>
      </c>
      <c r="B109" s="4"/>
      <c r="C109" s="5"/>
      <c r="D109" s="109"/>
      <c r="E109" s="5"/>
      <c r="F109" s="48"/>
      <c r="G109" s="5"/>
      <c r="H109" s="48"/>
      <c r="I109" s="5"/>
      <c r="J109" s="48"/>
      <c r="K109" s="5"/>
      <c r="L109" s="48"/>
      <c r="M109" s="5"/>
      <c r="N109" s="48"/>
      <c r="O109" s="5"/>
      <c r="P109" s="48"/>
      <c r="Q109" s="5"/>
      <c r="R109" s="48"/>
      <c r="S109" s="5"/>
      <c r="T109" s="65"/>
      <c r="U109" s="5"/>
      <c r="V109" s="41"/>
      <c r="W109" s="5"/>
      <c r="X109" s="41"/>
      <c r="Y109" s="5"/>
      <c r="Z109" s="48"/>
      <c r="AA109" s="5"/>
      <c r="AB109" s="48"/>
      <c r="AC109" s="5"/>
      <c r="AD109" s="74"/>
      <c r="AE109" s="5"/>
      <c r="AF109" s="48"/>
      <c r="AG109" s="5"/>
      <c r="AH109" s="48"/>
      <c r="AI109" s="5"/>
      <c r="AJ109" s="48"/>
      <c r="AK109" s="5"/>
      <c r="AL109" s="48"/>
      <c r="AM109" s="5"/>
      <c r="AN109" s="48"/>
      <c r="AO109" s="5"/>
      <c r="AP109" s="48"/>
      <c r="AQ109" s="5"/>
      <c r="AR109" s="48"/>
      <c r="AS109" s="5"/>
      <c r="AT109" s="48"/>
      <c r="AU109" s="5"/>
      <c r="AV109" s="65"/>
      <c r="AW109" s="5"/>
      <c r="AX109" s="48"/>
      <c r="AY109" s="5"/>
      <c r="AZ109" s="48"/>
      <c r="BA109" s="5"/>
      <c r="BB109" s="48"/>
      <c r="BC109" s="5"/>
      <c r="BD109" s="48"/>
      <c r="BE109" s="5"/>
      <c r="BF109" s="48"/>
      <c r="BG109" s="5"/>
      <c r="BH109" s="48"/>
      <c r="BI109" s="5"/>
      <c r="BJ109" s="48"/>
      <c r="BK109" s="5"/>
      <c r="BL109" s="48"/>
      <c r="BM109" s="5"/>
      <c r="BN109" s="65"/>
      <c r="BO109" s="5"/>
      <c r="BP109" s="128"/>
      <c r="BQ109" s="5"/>
      <c r="BR109" s="4"/>
      <c r="BS109" s="134"/>
      <c r="BT109" s="48"/>
      <c r="BU109" s="86"/>
      <c r="BV109" s="48"/>
      <c r="BW109" s="5"/>
      <c r="BX109" s="74"/>
      <c r="BY109" s="5"/>
      <c r="BZ109" s="48"/>
      <c r="CA109" s="5"/>
      <c r="CB109" s="48"/>
      <c r="CC109" s="5"/>
      <c r="CD109" s="4"/>
      <c r="CE109" s="5"/>
      <c r="CF109" s="48"/>
      <c r="CG109" s="5"/>
      <c r="CH109" s="48"/>
      <c r="CI109" s="5"/>
      <c r="CJ109" s="48"/>
      <c r="CK109" s="5"/>
      <c r="CL109" s="74"/>
      <c r="CM109" s="5"/>
      <c r="CN109" s="74"/>
      <c r="CO109" s="5"/>
      <c r="CP109" s="48"/>
      <c r="CQ109" s="5"/>
      <c r="CR109" s="48"/>
      <c r="CS109" s="5"/>
      <c r="CT109" s="48"/>
      <c r="CU109" s="5"/>
      <c r="CV109" s="112">
        <f t="shared" si="42"/>
        <v>0</v>
      </c>
      <c r="CW109" s="86">
        <f t="shared" si="43"/>
        <v>0</v>
      </c>
      <c r="CX109" s="139"/>
      <c r="CY109" s="86"/>
      <c r="CZ109" s="4"/>
      <c r="DA109" s="5"/>
      <c r="DB109" s="112"/>
      <c r="DC109" s="86"/>
      <c r="DD109" s="6"/>
      <c r="DE109" s="7"/>
      <c r="DF109" s="51">
        <f t="shared" si="44"/>
        <v>0</v>
      </c>
      <c r="DG109" s="7">
        <f t="shared" si="45"/>
        <v>0</v>
      </c>
      <c r="DH109" s="32"/>
      <c r="DI109" s="33"/>
      <c r="DJ109" s="142"/>
      <c r="DK109" s="142"/>
      <c r="DL109" s="36"/>
    </row>
    <row r="110" spans="1:116" ht="14.25" customHeight="1" x14ac:dyDescent="0.25">
      <c r="A110" s="4" t="s">
        <v>48</v>
      </c>
      <c r="B110" s="4"/>
      <c r="C110" s="5"/>
      <c r="D110" s="109"/>
      <c r="E110" s="5"/>
      <c r="F110" s="48"/>
      <c r="G110" s="5"/>
      <c r="H110" s="48"/>
      <c r="I110" s="5"/>
      <c r="J110" s="48"/>
      <c r="K110" s="5"/>
      <c r="L110" s="48"/>
      <c r="M110" s="5"/>
      <c r="N110" s="48"/>
      <c r="O110" s="5"/>
      <c r="P110" s="48"/>
      <c r="Q110" s="5"/>
      <c r="R110" s="48"/>
      <c r="S110" s="5"/>
      <c r="T110" s="65"/>
      <c r="U110" s="5"/>
      <c r="V110" s="41"/>
      <c r="W110" s="5"/>
      <c r="X110" s="41"/>
      <c r="Y110" s="5"/>
      <c r="Z110" s="48"/>
      <c r="AA110" s="5"/>
      <c r="AB110" s="48"/>
      <c r="AC110" s="5"/>
      <c r="AD110" s="74"/>
      <c r="AE110" s="5"/>
      <c r="AF110" s="48"/>
      <c r="AG110" s="5"/>
      <c r="AH110" s="48"/>
      <c r="AI110" s="5"/>
      <c r="AJ110" s="48"/>
      <c r="AK110" s="5"/>
      <c r="AL110" s="48">
        <v>1</v>
      </c>
      <c r="AM110" s="5">
        <v>1500</v>
      </c>
      <c r="AN110" s="48"/>
      <c r="AO110" s="5"/>
      <c r="AP110" s="48"/>
      <c r="AQ110" s="5"/>
      <c r="AR110" s="48"/>
      <c r="AS110" s="5"/>
      <c r="AT110" s="48"/>
      <c r="AU110" s="5"/>
      <c r="AV110" s="65"/>
      <c r="AW110" s="5"/>
      <c r="AX110" s="48"/>
      <c r="AY110" s="5"/>
      <c r="AZ110" s="48"/>
      <c r="BA110" s="5"/>
      <c r="BB110" s="48"/>
      <c r="BC110" s="5"/>
      <c r="BD110" s="48"/>
      <c r="BE110" s="5"/>
      <c r="BF110" s="48"/>
      <c r="BG110" s="5"/>
      <c r="BH110" s="48">
        <v>1</v>
      </c>
      <c r="BI110" s="5">
        <v>4000</v>
      </c>
      <c r="BJ110" s="48"/>
      <c r="BK110" s="5"/>
      <c r="BL110" s="48"/>
      <c r="BM110" s="5"/>
      <c r="BN110" s="65"/>
      <c r="BO110" s="5"/>
      <c r="BP110" s="128"/>
      <c r="BQ110" s="5"/>
      <c r="BR110" s="4"/>
      <c r="BS110" s="134"/>
      <c r="BT110" s="48"/>
      <c r="BU110" s="86"/>
      <c r="BV110" s="48"/>
      <c r="BW110" s="5"/>
      <c r="BX110" s="74"/>
      <c r="BY110" s="5"/>
      <c r="BZ110" s="48"/>
      <c r="CA110" s="5"/>
      <c r="CB110" s="48"/>
      <c r="CC110" s="5"/>
      <c r="CD110" s="4"/>
      <c r="CE110" s="5"/>
      <c r="CF110" s="48"/>
      <c r="CG110" s="5"/>
      <c r="CH110" s="48"/>
      <c r="CI110" s="5"/>
      <c r="CJ110" s="48"/>
      <c r="CK110" s="5"/>
      <c r="CL110" s="74"/>
      <c r="CM110" s="5"/>
      <c r="CN110" s="74"/>
      <c r="CO110" s="5"/>
      <c r="CP110" s="48"/>
      <c r="CQ110" s="5"/>
      <c r="CR110" s="48"/>
      <c r="CS110" s="5"/>
      <c r="CT110" s="48"/>
      <c r="CU110" s="5"/>
      <c r="CV110" s="112">
        <f t="shared" si="42"/>
        <v>0</v>
      </c>
      <c r="CW110" s="86">
        <f t="shared" si="43"/>
        <v>0</v>
      </c>
      <c r="CX110" s="139"/>
      <c r="CY110" s="86"/>
      <c r="CZ110" s="4"/>
      <c r="DA110" s="5"/>
      <c r="DB110" s="112"/>
      <c r="DC110" s="86"/>
      <c r="DD110" s="6"/>
      <c r="DE110" s="7"/>
      <c r="DF110" s="51">
        <f t="shared" si="44"/>
        <v>2</v>
      </c>
      <c r="DG110" s="7">
        <f t="shared" si="45"/>
        <v>5500</v>
      </c>
      <c r="DH110" s="32">
        <f>DF110+16</f>
        <v>18</v>
      </c>
      <c r="DI110" s="33">
        <f>DG110+12304</f>
        <v>17804</v>
      </c>
      <c r="DJ110" s="142"/>
      <c r="DK110" s="142"/>
      <c r="DL110" s="36"/>
    </row>
    <row r="111" spans="1:116" hidden="1" x14ac:dyDescent="0.25">
      <c r="A111" s="4" t="s">
        <v>162</v>
      </c>
      <c r="B111" s="4"/>
      <c r="C111" s="5"/>
      <c r="D111" s="109"/>
      <c r="E111" s="5"/>
      <c r="F111" s="48"/>
      <c r="G111" s="5"/>
      <c r="H111" s="48"/>
      <c r="I111" s="5"/>
      <c r="J111" s="48"/>
      <c r="K111" s="5"/>
      <c r="L111" s="48"/>
      <c r="M111" s="5"/>
      <c r="N111" s="48"/>
      <c r="O111" s="5"/>
      <c r="P111" s="48"/>
      <c r="Q111" s="5"/>
      <c r="R111" s="48"/>
      <c r="S111" s="5"/>
      <c r="T111" s="65"/>
      <c r="U111" s="5"/>
      <c r="V111" s="41"/>
      <c r="W111" s="5"/>
      <c r="X111" s="41"/>
      <c r="Y111" s="5"/>
      <c r="Z111" s="48"/>
      <c r="AA111" s="5"/>
      <c r="AB111" s="48"/>
      <c r="AC111" s="5"/>
      <c r="AD111" s="74"/>
      <c r="AE111" s="5"/>
      <c r="AF111" s="48"/>
      <c r="AG111" s="5"/>
      <c r="AH111" s="48"/>
      <c r="AI111" s="5"/>
      <c r="AJ111" s="48"/>
      <c r="AK111" s="5"/>
      <c r="AL111" s="48"/>
      <c r="AM111" s="5"/>
      <c r="AN111" s="48"/>
      <c r="AO111" s="5"/>
      <c r="AP111" s="48"/>
      <c r="AQ111" s="5"/>
      <c r="AR111" s="48"/>
      <c r="AS111" s="5"/>
      <c r="AT111" s="48"/>
      <c r="AU111" s="5"/>
      <c r="AV111" s="65"/>
      <c r="AW111" s="5"/>
      <c r="AX111" s="48"/>
      <c r="AY111" s="5"/>
      <c r="AZ111" s="48"/>
      <c r="BA111" s="5"/>
      <c r="BB111" s="48"/>
      <c r="BC111" s="5"/>
      <c r="BD111" s="48"/>
      <c r="BE111" s="5"/>
      <c r="BF111" s="48"/>
      <c r="BG111" s="5"/>
      <c r="BH111" s="48"/>
      <c r="BI111" s="5"/>
      <c r="BJ111" s="48"/>
      <c r="BK111" s="5"/>
      <c r="BL111" s="48"/>
      <c r="BM111" s="5"/>
      <c r="BN111" s="65"/>
      <c r="BO111" s="5"/>
      <c r="BP111" s="128"/>
      <c r="BQ111" s="5"/>
      <c r="BR111" s="4"/>
      <c r="BS111" s="134"/>
      <c r="BT111" s="48"/>
      <c r="BU111" s="86"/>
      <c r="BV111" s="48"/>
      <c r="BW111" s="5"/>
      <c r="BX111" s="74"/>
      <c r="BY111" s="5"/>
      <c r="BZ111" s="48"/>
      <c r="CA111" s="5"/>
      <c r="CB111" s="48"/>
      <c r="CC111" s="5"/>
      <c r="CD111" s="4"/>
      <c r="CE111" s="5"/>
      <c r="CF111" s="48"/>
      <c r="CG111" s="5"/>
      <c r="CH111" s="48"/>
      <c r="CI111" s="5"/>
      <c r="CJ111" s="48"/>
      <c r="CK111" s="5"/>
      <c r="CL111" s="74"/>
      <c r="CM111" s="5"/>
      <c r="CN111" s="74"/>
      <c r="CO111" s="5"/>
      <c r="CP111" s="48"/>
      <c r="CQ111" s="5"/>
      <c r="CR111" s="48"/>
      <c r="CS111" s="5"/>
      <c r="CT111" s="48"/>
      <c r="CU111" s="5"/>
      <c r="CV111" s="112">
        <f t="shared" si="42"/>
        <v>0</v>
      </c>
      <c r="CW111" s="86">
        <f t="shared" si="43"/>
        <v>0</v>
      </c>
      <c r="CX111" s="139"/>
      <c r="CY111" s="86"/>
      <c r="CZ111" s="4"/>
      <c r="DA111" s="5"/>
      <c r="DB111" s="112"/>
      <c r="DC111" s="86"/>
      <c r="DD111" s="6"/>
      <c r="DE111" s="7"/>
      <c r="DF111" s="51">
        <f t="shared" si="44"/>
        <v>0</v>
      </c>
      <c r="DG111" s="7">
        <f t="shared" si="45"/>
        <v>0</v>
      </c>
      <c r="DH111" s="32"/>
      <c r="DI111" s="33"/>
      <c r="DJ111" s="142"/>
      <c r="DK111" s="142"/>
      <c r="DL111" s="36"/>
    </row>
    <row r="112" spans="1:116" ht="15.75" customHeight="1" x14ac:dyDescent="0.25">
      <c r="A112" s="4" t="s">
        <v>49</v>
      </c>
      <c r="B112" s="4"/>
      <c r="C112" s="5"/>
      <c r="D112" s="109"/>
      <c r="E112" s="5"/>
      <c r="F112" s="48"/>
      <c r="G112" s="5"/>
      <c r="H112" s="48"/>
      <c r="I112" s="5"/>
      <c r="J112" s="48">
        <v>1</v>
      </c>
      <c r="K112" s="5">
        <v>1300</v>
      </c>
      <c r="L112" s="48"/>
      <c r="M112" s="5"/>
      <c r="N112" s="48"/>
      <c r="O112" s="5"/>
      <c r="P112" s="48"/>
      <c r="Q112" s="5"/>
      <c r="R112" s="48"/>
      <c r="S112" s="5"/>
      <c r="T112" s="65"/>
      <c r="U112" s="5"/>
      <c r="V112" s="41"/>
      <c r="W112" s="5"/>
      <c r="X112" s="41"/>
      <c r="Y112" s="5"/>
      <c r="Z112" s="48"/>
      <c r="AA112" s="5"/>
      <c r="AB112" s="48"/>
      <c r="AC112" s="5"/>
      <c r="AD112" s="74"/>
      <c r="AE112" s="5"/>
      <c r="AF112" s="48"/>
      <c r="AG112" s="5"/>
      <c r="AH112" s="48"/>
      <c r="AI112" s="5"/>
      <c r="AJ112" s="48"/>
      <c r="AK112" s="5"/>
      <c r="AL112" s="48"/>
      <c r="AM112" s="5"/>
      <c r="AN112" s="48"/>
      <c r="AO112" s="5"/>
      <c r="AP112" s="48">
        <v>1</v>
      </c>
      <c r="AQ112" s="5">
        <v>1000</v>
      </c>
      <c r="AR112" s="48"/>
      <c r="AS112" s="5"/>
      <c r="AT112" s="48"/>
      <c r="AU112" s="5"/>
      <c r="AV112" s="65"/>
      <c r="AW112" s="5"/>
      <c r="AX112" s="48">
        <v>1</v>
      </c>
      <c r="AY112" s="5">
        <v>1500</v>
      </c>
      <c r="AZ112" s="48"/>
      <c r="BA112" s="5"/>
      <c r="BB112" s="48"/>
      <c r="BC112" s="5"/>
      <c r="BD112" s="48"/>
      <c r="BE112" s="5"/>
      <c r="BF112" s="48"/>
      <c r="BG112" s="5"/>
      <c r="BH112" s="48">
        <v>1</v>
      </c>
      <c r="BI112" s="5">
        <v>1000</v>
      </c>
      <c r="BJ112" s="48"/>
      <c r="BK112" s="5"/>
      <c r="BL112" s="48"/>
      <c r="BM112" s="5"/>
      <c r="BN112" s="65"/>
      <c r="BO112" s="5"/>
      <c r="BP112" s="128"/>
      <c r="BQ112" s="5"/>
      <c r="BR112" s="4">
        <v>1</v>
      </c>
      <c r="BS112" s="134">
        <v>3000</v>
      </c>
      <c r="BT112" s="48"/>
      <c r="BU112" s="86"/>
      <c r="BV112" s="48"/>
      <c r="BW112" s="5"/>
      <c r="BX112" s="74"/>
      <c r="BY112" s="5"/>
      <c r="BZ112" s="48"/>
      <c r="CA112" s="5"/>
      <c r="CB112" s="48">
        <v>2</v>
      </c>
      <c r="CC112" s="5">
        <v>600</v>
      </c>
      <c r="CD112" s="4"/>
      <c r="CE112" s="5"/>
      <c r="CF112" s="48"/>
      <c r="CG112" s="5"/>
      <c r="CH112" s="48">
        <v>1</v>
      </c>
      <c r="CI112" s="5">
        <v>200</v>
      </c>
      <c r="CJ112" s="48"/>
      <c r="CK112" s="5"/>
      <c r="CL112" s="74"/>
      <c r="CM112" s="5"/>
      <c r="CN112" s="74"/>
      <c r="CO112" s="5"/>
      <c r="CP112" s="48"/>
      <c r="CQ112" s="5"/>
      <c r="CR112" s="48">
        <v>1</v>
      </c>
      <c r="CS112" s="5">
        <v>2000</v>
      </c>
      <c r="CT112" s="48"/>
      <c r="CU112" s="5"/>
      <c r="CV112" s="112">
        <f t="shared" si="42"/>
        <v>1</v>
      </c>
      <c r="CW112" s="86">
        <f t="shared" si="43"/>
        <v>2000</v>
      </c>
      <c r="CX112" s="139"/>
      <c r="CY112" s="86"/>
      <c r="CZ112" s="4"/>
      <c r="DA112" s="5"/>
      <c r="DB112" s="112"/>
      <c r="DC112" s="86"/>
      <c r="DD112" s="6"/>
      <c r="DE112" s="7"/>
      <c r="DF112" s="51">
        <f t="shared" si="44"/>
        <v>9</v>
      </c>
      <c r="DG112" s="7">
        <f t="shared" si="45"/>
        <v>10600</v>
      </c>
      <c r="DH112" s="32">
        <f>DF112+77</f>
        <v>86</v>
      </c>
      <c r="DI112" s="33">
        <f>DG112+79930</f>
        <v>90530</v>
      </c>
      <c r="DJ112" s="142"/>
      <c r="DK112" s="142"/>
      <c r="DL112" s="36"/>
    </row>
    <row r="113" spans="1:116" ht="44.25" hidden="1" customHeight="1" x14ac:dyDescent="0.25">
      <c r="A113" s="4" t="s">
        <v>220</v>
      </c>
      <c r="B113" s="4"/>
      <c r="C113" s="5"/>
      <c r="D113" s="109"/>
      <c r="E113" s="5"/>
      <c r="F113" s="48"/>
      <c r="G113" s="5"/>
      <c r="H113" s="48"/>
      <c r="I113" s="5"/>
      <c r="J113" s="48"/>
      <c r="K113" s="5"/>
      <c r="L113" s="48"/>
      <c r="M113" s="5"/>
      <c r="N113" s="48"/>
      <c r="O113" s="5"/>
      <c r="P113" s="48"/>
      <c r="Q113" s="5"/>
      <c r="R113" s="48"/>
      <c r="S113" s="5"/>
      <c r="T113" s="65"/>
      <c r="U113" s="5"/>
      <c r="V113" s="41"/>
      <c r="W113" s="5"/>
      <c r="X113" s="41"/>
      <c r="Y113" s="5"/>
      <c r="Z113" s="48"/>
      <c r="AA113" s="5"/>
      <c r="AB113" s="48"/>
      <c r="AC113" s="5"/>
      <c r="AD113" s="74"/>
      <c r="AE113" s="5"/>
      <c r="AF113" s="48"/>
      <c r="AG113" s="5"/>
      <c r="AH113" s="48"/>
      <c r="AI113" s="5"/>
      <c r="AJ113" s="48"/>
      <c r="AK113" s="5"/>
      <c r="AL113" s="48"/>
      <c r="AM113" s="5"/>
      <c r="AN113" s="48"/>
      <c r="AO113" s="5"/>
      <c r="AP113" s="48"/>
      <c r="AQ113" s="5"/>
      <c r="AR113" s="48"/>
      <c r="AS113" s="5"/>
      <c r="AT113" s="48"/>
      <c r="AU113" s="5"/>
      <c r="AV113" s="65"/>
      <c r="AW113" s="5"/>
      <c r="AX113" s="48"/>
      <c r="AY113" s="5"/>
      <c r="AZ113" s="48"/>
      <c r="BA113" s="5"/>
      <c r="BB113" s="48"/>
      <c r="BC113" s="5"/>
      <c r="BD113" s="48"/>
      <c r="BE113" s="5"/>
      <c r="BF113" s="48"/>
      <c r="BG113" s="5"/>
      <c r="BH113" s="48"/>
      <c r="BI113" s="5"/>
      <c r="BJ113" s="48"/>
      <c r="BK113" s="5"/>
      <c r="BL113" s="48"/>
      <c r="BM113" s="5"/>
      <c r="BN113" s="65"/>
      <c r="BO113" s="5"/>
      <c r="BP113" s="128"/>
      <c r="BQ113" s="5"/>
      <c r="BR113" s="4"/>
      <c r="BS113" s="4"/>
      <c r="BT113" s="48"/>
      <c r="BU113" s="86"/>
      <c r="BV113" s="48"/>
      <c r="BW113" s="5"/>
      <c r="BX113" s="74"/>
      <c r="BY113" s="5"/>
      <c r="BZ113" s="48"/>
      <c r="CA113" s="5"/>
      <c r="CB113" s="48"/>
      <c r="CC113" s="5"/>
      <c r="CD113" s="4"/>
      <c r="CE113" s="5"/>
      <c r="CF113" s="48"/>
      <c r="CG113" s="5"/>
      <c r="CH113" s="48"/>
      <c r="CI113" s="5"/>
      <c r="CJ113" s="48"/>
      <c r="CK113" s="5"/>
      <c r="CL113" s="74"/>
      <c r="CM113" s="5"/>
      <c r="CN113" s="74"/>
      <c r="CO113" s="5"/>
      <c r="CP113" s="48"/>
      <c r="CQ113" s="5"/>
      <c r="CR113" s="48"/>
      <c r="CS113" s="5"/>
      <c r="CT113" s="48"/>
      <c r="CU113" s="5"/>
      <c r="CV113" s="112">
        <f t="shared" si="42"/>
        <v>0</v>
      </c>
      <c r="CW113" s="86">
        <f t="shared" si="43"/>
        <v>0</v>
      </c>
      <c r="CX113" s="139"/>
      <c r="CY113" s="86"/>
      <c r="CZ113" s="4"/>
      <c r="DA113" s="5"/>
      <c r="DB113" s="112"/>
      <c r="DC113" s="86"/>
      <c r="DD113" s="6"/>
      <c r="DE113" s="7"/>
      <c r="DF113" s="51">
        <f t="shared" si="44"/>
        <v>0</v>
      </c>
      <c r="DG113" s="7">
        <f t="shared" si="45"/>
        <v>0</v>
      </c>
      <c r="DH113" s="32"/>
      <c r="DI113" s="33"/>
      <c r="DJ113" s="142"/>
      <c r="DK113" s="142"/>
      <c r="DL113" s="36"/>
    </row>
    <row r="114" spans="1:116" x14ac:dyDescent="0.25">
      <c r="A114" s="4" t="s">
        <v>50</v>
      </c>
      <c r="B114" s="4"/>
      <c r="C114" s="5"/>
      <c r="D114" s="109"/>
      <c r="E114" s="5"/>
      <c r="F114" s="48"/>
      <c r="G114" s="5"/>
      <c r="H114" s="48"/>
      <c r="I114" s="5"/>
      <c r="J114" s="48"/>
      <c r="K114" s="5"/>
      <c r="L114" s="48"/>
      <c r="M114" s="5"/>
      <c r="N114" s="48"/>
      <c r="O114" s="5"/>
      <c r="P114" s="48"/>
      <c r="Q114" s="5"/>
      <c r="R114" s="48"/>
      <c r="S114" s="5"/>
      <c r="T114" s="65"/>
      <c r="U114" s="5"/>
      <c r="V114" s="41"/>
      <c r="W114" s="5"/>
      <c r="X114" s="41"/>
      <c r="Y114" s="5"/>
      <c r="Z114" s="48"/>
      <c r="AA114" s="5"/>
      <c r="AB114" s="48"/>
      <c r="AC114" s="5"/>
      <c r="AD114" s="74"/>
      <c r="AE114" s="5"/>
      <c r="AF114" s="48"/>
      <c r="AG114" s="5"/>
      <c r="AH114" s="48"/>
      <c r="AI114" s="5"/>
      <c r="AJ114" s="48">
        <v>1</v>
      </c>
      <c r="AK114" s="5">
        <v>1500</v>
      </c>
      <c r="AL114" s="48"/>
      <c r="AM114" s="5"/>
      <c r="AN114" s="48"/>
      <c r="AO114" s="5"/>
      <c r="AP114" s="48">
        <v>1</v>
      </c>
      <c r="AQ114" s="5">
        <v>350</v>
      </c>
      <c r="AR114" s="48"/>
      <c r="AS114" s="5"/>
      <c r="AT114" s="48"/>
      <c r="AU114" s="5"/>
      <c r="AV114" s="65"/>
      <c r="AW114" s="5"/>
      <c r="AX114" s="48"/>
      <c r="AY114" s="5"/>
      <c r="AZ114" s="48"/>
      <c r="BA114" s="5"/>
      <c r="BB114" s="48"/>
      <c r="BC114" s="5"/>
      <c r="BD114" s="48"/>
      <c r="BE114" s="5"/>
      <c r="BF114" s="48"/>
      <c r="BG114" s="5"/>
      <c r="BH114" s="48"/>
      <c r="BI114" s="5"/>
      <c r="BJ114" s="48"/>
      <c r="BK114" s="5"/>
      <c r="BL114" s="48"/>
      <c r="BM114" s="5"/>
      <c r="BN114" s="65"/>
      <c r="BO114" s="5"/>
      <c r="BP114" s="128"/>
      <c r="BQ114" s="5"/>
      <c r="BR114" s="4"/>
      <c r="BS114" s="4"/>
      <c r="BT114" s="48"/>
      <c r="BU114" s="86"/>
      <c r="BV114" s="48"/>
      <c r="BW114" s="5"/>
      <c r="BX114" s="74"/>
      <c r="BY114" s="5"/>
      <c r="BZ114" s="48"/>
      <c r="CA114" s="5"/>
      <c r="CB114" s="48"/>
      <c r="CC114" s="5"/>
      <c r="CD114" s="4"/>
      <c r="CE114" s="5"/>
      <c r="CF114" s="48"/>
      <c r="CG114" s="5"/>
      <c r="CH114" s="48"/>
      <c r="CI114" s="5"/>
      <c r="CJ114" s="48"/>
      <c r="CK114" s="5"/>
      <c r="CL114" s="74"/>
      <c r="CM114" s="5"/>
      <c r="CN114" s="74"/>
      <c r="CO114" s="5"/>
      <c r="CP114" s="48"/>
      <c r="CQ114" s="5"/>
      <c r="CR114" s="48"/>
      <c r="CS114" s="5"/>
      <c r="CT114" s="48"/>
      <c r="CU114" s="5"/>
      <c r="CV114" s="112">
        <f t="shared" si="42"/>
        <v>0</v>
      </c>
      <c r="CW114" s="86">
        <f t="shared" si="43"/>
        <v>0</v>
      </c>
      <c r="CX114" s="139"/>
      <c r="CY114" s="86"/>
      <c r="CZ114" s="4"/>
      <c r="DA114" s="5"/>
      <c r="DB114" s="112"/>
      <c r="DC114" s="86"/>
      <c r="DD114" s="6"/>
      <c r="DE114" s="7"/>
      <c r="DF114" s="51">
        <f t="shared" si="44"/>
        <v>2</v>
      </c>
      <c r="DG114" s="7">
        <f t="shared" si="45"/>
        <v>1850</v>
      </c>
      <c r="DH114" s="32">
        <f>DF114+15</f>
        <v>17</v>
      </c>
      <c r="DI114" s="33">
        <f>DG114+7787</f>
        <v>9637</v>
      </c>
      <c r="DJ114" s="142"/>
      <c r="DK114" s="142"/>
      <c r="DL114" s="36"/>
    </row>
    <row r="115" spans="1:116" ht="13.5" hidden="1" customHeight="1" x14ac:dyDescent="0.25">
      <c r="A115" s="4" t="s">
        <v>141</v>
      </c>
      <c r="B115" s="4"/>
      <c r="C115" s="5"/>
      <c r="D115" s="109"/>
      <c r="E115" s="5"/>
      <c r="F115" s="48"/>
      <c r="G115" s="5"/>
      <c r="H115" s="48"/>
      <c r="I115" s="5"/>
      <c r="J115" s="48"/>
      <c r="K115" s="5"/>
      <c r="L115" s="48"/>
      <c r="M115" s="5"/>
      <c r="N115" s="48"/>
      <c r="O115" s="5"/>
      <c r="P115" s="48"/>
      <c r="Q115" s="5"/>
      <c r="R115" s="48"/>
      <c r="S115" s="5"/>
      <c r="T115" s="65"/>
      <c r="U115" s="5"/>
      <c r="V115" s="41"/>
      <c r="W115" s="5"/>
      <c r="X115" s="41"/>
      <c r="Y115" s="5"/>
      <c r="Z115" s="48"/>
      <c r="AA115" s="5"/>
      <c r="AB115" s="48"/>
      <c r="AC115" s="5"/>
      <c r="AD115" s="74"/>
      <c r="AE115" s="5"/>
      <c r="AF115" s="48"/>
      <c r="AG115" s="5"/>
      <c r="AH115" s="48"/>
      <c r="AI115" s="5"/>
      <c r="AJ115" s="48"/>
      <c r="AK115" s="5"/>
      <c r="AL115" s="48"/>
      <c r="AM115" s="5"/>
      <c r="AN115" s="48"/>
      <c r="AO115" s="5"/>
      <c r="AP115" s="48"/>
      <c r="AQ115" s="5"/>
      <c r="AR115" s="48"/>
      <c r="AS115" s="5"/>
      <c r="AT115" s="48"/>
      <c r="AU115" s="5"/>
      <c r="AV115" s="65"/>
      <c r="AW115" s="5"/>
      <c r="AX115" s="48"/>
      <c r="AY115" s="5"/>
      <c r="AZ115" s="48"/>
      <c r="BA115" s="5"/>
      <c r="BB115" s="48"/>
      <c r="BC115" s="5"/>
      <c r="BD115" s="48"/>
      <c r="BE115" s="5"/>
      <c r="BF115" s="48"/>
      <c r="BG115" s="5"/>
      <c r="BH115" s="48"/>
      <c r="BI115" s="5"/>
      <c r="BJ115" s="48"/>
      <c r="BK115" s="5"/>
      <c r="BL115" s="48"/>
      <c r="BM115" s="5"/>
      <c r="BN115" s="65"/>
      <c r="BO115" s="5"/>
      <c r="BP115" s="128"/>
      <c r="BQ115" s="5"/>
      <c r="BR115" s="4"/>
      <c r="BS115" s="4"/>
      <c r="BT115" s="48"/>
      <c r="BU115" s="86"/>
      <c r="BV115" s="48"/>
      <c r="BW115" s="5"/>
      <c r="BX115" s="74"/>
      <c r="BY115" s="5"/>
      <c r="BZ115" s="48"/>
      <c r="CA115" s="5"/>
      <c r="CB115" s="48"/>
      <c r="CC115" s="5"/>
      <c r="CD115" s="4"/>
      <c r="CE115" s="5"/>
      <c r="CF115" s="48"/>
      <c r="CG115" s="5"/>
      <c r="CH115" s="48"/>
      <c r="CI115" s="5"/>
      <c r="CJ115" s="48"/>
      <c r="CK115" s="5"/>
      <c r="CL115" s="74"/>
      <c r="CM115" s="5"/>
      <c r="CN115" s="74"/>
      <c r="CO115" s="5"/>
      <c r="CP115" s="48"/>
      <c r="CQ115" s="5"/>
      <c r="CR115" s="48"/>
      <c r="CS115" s="5"/>
      <c r="CT115" s="48"/>
      <c r="CU115" s="5"/>
      <c r="CV115" s="112">
        <f t="shared" si="42"/>
        <v>0</v>
      </c>
      <c r="CW115" s="86">
        <f t="shared" si="43"/>
        <v>0</v>
      </c>
      <c r="CX115" s="139"/>
      <c r="CY115" s="86"/>
      <c r="CZ115" s="4"/>
      <c r="DA115" s="5"/>
      <c r="DB115" s="112"/>
      <c r="DC115" s="86"/>
      <c r="DD115" s="6"/>
      <c r="DE115" s="7"/>
      <c r="DF115" s="51">
        <f t="shared" si="44"/>
        <v>0</v>
      </c>
      <c r="DG115" s="7">
        <f t="shared" si="45"/>
        <v>0</v>
      </c>
      <c r="DH115" s="32"/>
      <c r="DI115" s="33"/>
      <c r="DJ115" s="142"/>
      <c r="DK115" s="142"/>
      <c r="DL115" s="36"/>
    </row>
    <row r="116" spans="1:116" ht="13.5" customHeight="1" x14ac:dyDescent="0.25">
      <c r="A116" s="4" t="s">
        <v>51</v>
      </c>
      <c r="B116" s="4">
        <v>2</v>
      </c>
      <c r="C116" s="5">
        <v>2500</v>
      </c>
      <c r="D116" s="109"/>
      <c r="E116" s="5"/>
      <c r="F116" s="48"/>
      <c r="G116" s="5"/>
      <c r="H116" s="48"/>
      <c r="I116" s="5"/>
      <c r="J116" s="48"/>
      <c r="K116" s="5"/>
      <c r="L116" s="48">
        <v>2</v>
      </c>
      <c r="M116" s="5">
        <v>4450</v>
      </c>
      <c r="N116" s="48"/>
      <c r="O116" s="5"/>
      <c r="P116" s="48"/>
      <c r="Q116" s="5"/>
      <c r="R116" s="48">
        <v>2</v>
      </c>
      <c r="S116" s="5">
        <v>6000</v>
      </c>
      <c r="T116" s="65"/>
      <c r="U116" s="5"/>
      <c r="V116" s="41"/>
      <c r="W116" s="5"/>
      <c r="X116" s="41"/>
      <c r="Y116" s="5"/>
      <c r="Z116" s="48"/>
      <c r="AA116" s="5"/>
      <c r="AB116" s="48"/>
      <c r="AC116" s="5"/>
      <c r="AD116" s="74"/>
      <c r="AE116" s="5"/>
      <c r="AF116" s="48">
        <v>1</v>
      </c>
      <c r="AG116" s="5">
        <v>1555</v>
      </c>
      <c r="AH116" s="48"/>
      <c r="AI116" s="5"/>
      <c r="AJ116" s="48"/>
      <c r="AK116" s="5"/>
      <c r="AL116" s="48">
        <v>1</v>
      </c>
      <c r="AM116" s="5">
        <v>1500</v>
      </c>
      <c r="AN116" s="48"/>
      <c r="AO116" s="5"/>
      <c r="AP116" s="48">
        <v>1</v>
      </c>
      <c r="AQ116" s="5">
        <v>2200</v>
      </c>
      <c r="AR116" s="48"/>
      <c r="AS116" s="5"/>
      <c r="AT116" s="48">
        <v>1</v>
      </c>
      <c r="AU116" s="5">
        <v>300</v>
      </c>
      <c r="AV116" s="65"/>
      <c r="AW116" s="5"/>
      <c r="AX116" s="48"/>
      <c r="AY116" s="5"/>
      <c r="AZ116" s="48">
        <v>1</v>
      </c>
      <c r="BA116" s="5">
        <v>200</v>
      </c>
      <c r="BB116" s="48"/>
      <c r="BC116" s="5"/>
      <c r="BD116" s="48"/>
      <c r="BE116" s="5"/>
      <c r="BF116" s="48"/>
      <c r="BG116" s="5"/>
      <c r="BH116" s="48"/>
      <c r="BI116" s="5"/>
      <c r="BJ116" s="48"/>
      <c r="BK116" s="5"/>
      <c r="BL116" s="48"/>
      <c r="BM116" s="5"/>
      <c r="BN116" s="65"/>
      <c r="BO116" s="5"/>
      <c r="BP116" s="128">
        <v>1</v>
      </c>
      <c r="BQ116" s="5">
        <v>1500</v>
      </c>
      <c r="BR116" s="4"/>
      <c r="BS116" s="134"/>
      <c r="BT116" s="48"/>
      <c r="BU116" s="86"/>
      <c r="BV116" s="48"/>
      <c r="BW116" s="5"/>
      <c r="BX116" s="74"/>
      <c r="BY116" s="5"/>
      <c r="BZ116" s="48"/>
      <c r="CA116" s="5"/>
      <c r="CB116" s="48">
        <v>1</v>
      </c>
      <c r="CC116" s="5">
        <v>400</v>
      </c>
      <c r="CD116" s="4">
        <v>1</v>
      </c>
      <c r="CE116" s="5">
        <v>400</v>
      </c>
      <c r="CF116" s="48"/>
      <c r="CG116" s="5"/>
      <c r="CH116" s="48"/>
      <c r="CI116" s="5"/>
      <c r="CJ116" s="48"/>
      <c r="CK116" s="5"/>
      <c r="CL116" s="74">
        <v>2</v>
      </c>
      <c r="CM116" s="5">
        <v>3000</v>
      </c>
      <c r="CN116" s="74"/>
      <c r="CO116" s="5"/>
      <c r="CP116" s="48"/>
      <c r="CQ116" s="5"/>
      <c r="CR116" s="48"/>
      <c r="CS116" s="5"/>
      <c r="CT116" s="48">
        <v>1</v>
      </c>
      <c r="CU116" s="5">
        <v>3000</v>
      </c>
      <c r="CV116" s="112">
        <f t="shared" si="42"/>
        <v>1</v>
      </c>
      <c r="CW116" s="86">
        <f t="shared" si="43"/>
        <v>3000</v>
      </c>
      <c r="CX116" s="139"/>
      <c r="CY116" s="86"/>
      <c r="CZ116" s="4"/>
      <c r="DA116" s="5"/>
      <c r="DB116" s="112"/>
      <c r="DC116" s="86"/>
      <c r="DD116" s="6"/>
      <c r="DE116" s="7"/>
      <c r="DF116" s="51">
        <f t="shared" si="44"/>
        <v>17</v>
      </c>
      <c r="DG116" s="7">
        <f t="shared" si="45"/>
        <v>27005</v>
      </c>
      <c r="DH116" s="32">
        <f>DF116+113</f>
        <v>130</v>
      </c>
      <c r="DI116" s="33">
        <f>DG116+84886</f>
        <v>111891</v>
      </c>
      <c r="DJ116" s="142"/>
      <c r="DK116" s="142"/>
      <c r="DL116" s="36"/>
    </row>
    <row r="117" spans="1:116" ht="139.5" hidden="1" customHeight="1" x14ac:dyDescent="0.25">
      <c r="A117" s="4" t="s">
        <v>228</v>
      </c>
      <c r="B117" s="4"/>
      <c r="C117" s="5"/>
      <c r="D117" s="109"/>
      <c r="E117" s="5"/>
      <c r="F117" s="48"/>
      <c r="G117" s="5"/>
      <c r="H117" s="48"/>
      <c r="I117" s="5"/>
      <c r="J117" s="48"/>
      <c r="K117" s="5"/>
      <c r="L117" s="48"/>
      <c r="M117" s="5"/>
      <c r="N117" s="48"/>
      <c r="O117" s="5"/>
      <c r="P117" s="48"/>
      <c r="Q117" s="5"/>
      <c r="R117" s="48"/>
      <c r="S117" s="5"/>
      <c r="T117" s="65"/>
      <c r="U117" s="5"/>
      <c r="V117" s="41"/>
      <c r="W117" s="5"/>
      <c r="X117" s="41"/>
      <c r="Y117" s="5"/>
      <c r="Z117" s="48"/>
      <c r="AA117" s="5"/>
      <c r="AB117" s="48"/>
      <c r="AC117" s="5"/>
      <c r="AD117" s="74"/>
      <c r="AE117" s="5"/>
      <c r="AF117" s="48"/>
      <c r="AG117" s="5"/>
      <c r="AH117" s="48"/>
      <c r="AI117" s="5"/>
      <c r="AJ117" s="48"/>
      <c r="AK117" s="5"/>
      <c r="AL117" s="48"/>
      <c r="AM117" s="5"/>
      <c r="AN117" s="48"/>
      <c r="AO117" s="5"/>
      <c r="AP117" s="48"/>
      <c r="AQ117" s="5"/>
      <c r="AR117" s="48"/>
      <c r="AS117" s="5"/>
      <c r="AT117" s="48"/>
      <c r="AU117" s="5"/>
      <c r="AV117" s="65"/>
      <c r="AW117" s="5"/>
      <c r="AX117" s="48"/>
      <c r="AY117" s="5"/>
      <c r="AZ117" s="48"/>
      <c r="BA117" s="5"/>
      <c r="BB117" s="48"/>
      <c r="BC117" s="5"/>
      <c r="BD117" s="48"/>
      <c r="BE117" s="5"/>
      <c r="BF117" s="48"/>
      <c r="BG117" s="5"/>
      <c r="BH117" s="48"/>
      <c r="BI117" s="5"/>
      <c r="BJ117" s="48"/>
      <c r="BK117" s="5"/>
      <c r="BL117" s="48"/>
      <c r="BM117" s="5"/>
      <c r="BN117" s="65"/>
      <c r="BO117" s="5"/>
      <c r="BP117" s="128"/>
      <c r="BQ117" s="5"/>
      <c r="BR117" s="4"/>
      <c r="BS117" s="4"/>
      <c r="BT117" s="48"/>
      <c r="BU117" s="86"/>
      <c r="BV117" s="48"/>
      <c r="BW117" s="5"/>
      <c r="BX117" s="74"/>
      <c r="BY117" s="5"/>
      <c r="BZ117" s="48"/>
      <c r="CA117" s="5"/>
      <c r="CB117" s="48"/>
      <c r="CC117" s="5"/>
      <c r="CD117" s="4"/>
      <c r="CE117" s="5"/>
      <c r="CF117" s="48"/>
      <c r="CG117" s="5"/>
      <c r="CH117" s="48"/>
      <c r="CI117" s="5"/>
      <c r="CJ117" s="48"/>
      <c r="CK117" s="5"/>
      <c r="CL117" s="74"/>
      <c r="CM117" s="5"/>
      <c r="CN117" s="74"/>
      <c r="CO117" s="5"/>
      <c r="CP117" s="48"/>
      <c r="CQ117" s="5"/>
      <c r="CR117" s="48"/>
      <c r="CS117" s="5"/>
      <c r="CT117" s="48"/>
      <c r="CU117" s="5"/>
      <c r="CV117" s="112">
        <f t="shared" si="42"/>
        <v>0</v>
      </c>
      <c r="CW117" s="86">
        <f t="shared" si="43"/>
        <v>0</v>
      </c>
      <c r="CX117" s="112"/>
      <c r="CY117" s="86"/>
      <c r="CZ117" s="4"/>
      <c r="DA117" s="5"/>
      <c r="DB117" s="112"/>
      <c r="DC117" s="86"/>
      <c r="DD117" s="6"/>
      <c r="DE117" s="7"/>
      <c r="DF117" s="51">
        <f t="shared" si="44"/>
        <v>0</v>
      </c>
      <c r="DG117" s="7">
        <f t="shared" si="45"/>
        <v>0</v>
      </c>
      <c r="DH117" s="32"/>
      <c r="DI117" s="33"/>
      <c r="DJ117" s="142"/>
      <c r="DK117" s="142"/>
      <c r="DL117" s="36"/>
    </row>
    <row r="118" spans="1:116" ht="14.25" customHeight="1" x14ac:dyDescent="0.25">
      <c r="A118" s="4" t="s">
        <v>52</v>
      </c>
      <c r="B118" s="4"/>
      <c r="C118" s="5"/>
      <c r="D118" s="109"/>
      <c r="E118" s="5"/>
      <c r="F118" s="48"/>
      <c r="G118" s="5"/>
      <c r="H118" s="48">
        <v>1</v>
      </c>
      <c r="I118" s="5">
        <v>100</v>
      </c>
      <c r="J118" s="48"/>
      <c r="K118" s="5"/>
      <c r="L118" s="48"/>
      <c r="M118" s="5"/>
      <c r="N118" s="48"/>
      <c r="O118" s="5"/>
      <c r="P118" s="48"/>
      <c r="Q118" s="5"/>
      <c r="R118" s="48"/>
      <c r="S118" s="5"/>
      <c r="T118" s="65"/>
      <c r="U118" s="5"/>
      <c r="V118" s="41"/>
      <c r="W118" s="5"/>
      <c r="X118" s="41"/>
      <c r="Y118" s="5"/>
      <c r="Z118" s="48"/>
      <c r="AA118" s="5"/>
      <c r="AB118" s="48"/>
      <c r="AC118" s="5"/>
      <c r="AD118" s="74"/>
      <c r="AE118" s="5"/>
      <c r="AF118" s="48"/>
      <c r="AG118" s="5"/>
      <c r="AH118" s="48">
        <v>1</v>
      </c>
      <c r="AI118" s="5">
        <v>2500</v>
      </c>
      <c r="AJ118" s="48"/>
      <c r="AK118" s="5"/>
      <c r="AL118" s="48"/>
      <c r="AM118" s="5"/>
      <c r="AN118" s="48"/>
      <c r="AO118" s="5"/>
      <c r="AP118" s="48"/>
      <c r="AQ118" s="5"/>
      <c r="AR118" s="48"/>
      <c r="AS118" s="5"/>
      <c r="AT118" s="48"/>
      <c r="AU118" s="5"/>
      <c r="AV118" s="65"/>
      <c r="AW118" s="5"/>
      <c r="AX118" s="48"/>
      <c r="AY118" s="5"/>
      <c r="AZ118" s="48"/>
      <c r="BA118" s="5"/>
      <c r="BB118" s="48"/>
      <c r="BC118" s="5"/>
      <c r="BD118" s="48"/>
      <c r="BE118" s="5"/>
      <c r="BF118" s="48">
        <v>2</v>
      </c>
      <c r="BG118" s="5">
        <v>700</v>
      </c>
      <c r="BH118" s="48"/>
      <c r="BI118" s="5"/>
      <c r="BJ118" s="48"/>
      <c r="BK118" s="5"/>
      <c r="BL118" s="48"/>
      <c r="BM118" s="5"/>
      <c r="BN118" s="65"/>
      <c r="BO118" s="5"/>
      <c r="BP118" s="128"/>
      <c r="BQ118" s="5"/>
      <c r="BR118" s="4"/>
      <c r="BS118" s="4"/>
      <c r="BT118" s="48"/>
      <c r="BU118" s="86"/>
      <c r="BV118" s="48"/>
      <c r="BW118" s="5"/>
      <c r="BX118" s="74"/>
      <c r="BY118" s="5"/>
      <c r="BZ118" s="48"/>
      <c r="CA118" s="5"/>
      <c r="CB118" s="48"/>
      <c r="CC118" s="5"/>
      <c r="CD118" s="4"/>
      <c r="CE118" s="5"/>
      <c r="CF118" s="48"/>
      <c r="CG118" s="5"/>
      <c r="CH118" s="48"/>
      <c r="CI118" s="5"/>
      <c r="CJ118" s="48"/>
      <c r="CK118" s="5"/>
      <c r="CL118" s="74"/>
      <c r="CM118" s="5"/>
      <c r="CN118" s="74"/>
      <c r="CO118" s="5"/>
      <c r="CP118" s="48"/>
      <c r="CQ118" s="5"/>
      <c r="CR118" s="48"/>
      <c r="CS118" s="5"/>
      <c r="CT118" s="48">
        <v>1</v>
      </c>
      <c r="CU118" s="5">
        <v>1500</v>
      </c>
      <c r="CV118" s="112">
        <f t="shared" si="42"/>
        <v>1</v>
      </c>
      <c r="CW118" s="86">
        <f t="shared" si="43"/>
        <v>1500</v>
      </c>
      <c r="CX118" s="112"/>
      <c r="CY118" s="86"/>
      <c r="CZ118" s="4"/>
      <c r="DA118" s="5"/>
      <c r="DB118" s="112"/>
      <c r="DC118" s="86"/>
      <c r="DD118" s="6"/>
      <c r="DE118" s="7"/>
      <c r="DF118" s="51">
        <f>B118+CZ118+DD118+D118+F118+H118+J118+L118+N118+P118+R118+T118+V118+X118+Z118+AB118+AD118+AF118+AH118+AJ118+AL118+AN118+AP118+AR118+AT118+AV118+AX118+AZ118+BB118+BD118+BF118+BH118+BJ118+BL118+BN118+BP118+BR118+BT118+BV118+BX118+BZ118+CB118+CD118+CF118+CH118+CJ118+CL118+CN118+CP118+CR118+CT118+CX118</f>
        <v>5</v>
      </c>
      <c r="DG118" s="7">
        <f>C118+DA118+DE118+E118+G118+I118+K118+M118+O118+Q118+S118+U118+W118+Y118+AA118+AC118+AE118+AG118+AI118+AK118+AM118+AO118+AQ118+AS118+AU118+AW118+AY118+BA118+BC118+BE118+BG118+BI118+BK118+BM118+BO118+BQ118+BS118+BU118+BW118+BY118+CA118+CC118+CE118+CG118+CI118+CK118+CM118+CO118+CQ118+CS118+CU118+CY118</f>
        <v>4800</v>
      </c>
      <c r="DH118" s="32">
        <f>DF118+19</f>
        <v>24</v>
      </c>
      <c r="DI118" s="33">
        <f>DG118+25180</f>
        <v>29980</v>
      </c>
      <c r="DJ118" s="142"/>
      <c r="DK118" s="142"/>
      <c r="DL118" s="36"/>
    </row>
    <row r="119" spans="1:116" ht="47.25" hidden="1" x14ac:dyDescent="0.25">
      <c r="A119" s="4" t="s">
        <v>229</v>
      </c>
      <c r="B119" s="4"/>
      <c r="C119" s="5"/>
      <c r="D119" s="109"/>
      <c r="E119" s="5"/>
      <c r="F119" s="48"/>
      <c r="G119" s="5"/>
      <c r="H119" s="48"/>
      <c r="I119" s="5"/>
      <c r="J119" s="48"/>
      <c r="K119" s="5"/>
      <c r="L119" s="48"/>
      <c r="M119" s="5"/>
      <c r="N119" s="48"/>
      <c r="O119" s="5"/>
      <c r="P119" s="48"/>
      <c r="Q119" s="5"/>
      <c r="R119" s="48"/>
      <c r="S119" s="5"/>
      <c r="T119" s="65"/>
      <c r="U119" s="5"/>
      <c r="V119" s="41"/>
      <c r="W119" s="5"/>
      <c r="X119" s="41"/>
      <c r="Y119" s="5"/>
      <c r="Z119" s="48"/>
      <c r="AA119" s="5"/>
      <c r="AB119" s="48"/>
      <c r="AC119" s="5"/>
      <c r="AD119" s="74"/>
      <c r="AE119" s="5"/>
      <c r="AF119" s="48"/>
      <c r="AG119" s="5"/>
      <c r="AH119" s="48"/>
      <c r="AI119" s="5"/>
      <c r="AJ119" s="48"/>
      <c r="AK119" s="5"/>
      <c r="AL119" s="48"/>
      <c r="AM119" s="5"/>
      <c r="AN119" s="48"/>
      <c r="AO119" s="5"/>
      <c r="AP119" s="48"/>
      <c r="AQ119" s="5"/>
      <c r="AR119" s="48"/>
      <c r="AS119" s="5"/>
      <c r="AT119" s="48"/>
      <c r="AU119" s="5"/>
      <c r="AV119" s="65"/>
      <c r="AW119" s="5"/>
      <c r="AX119" s="48"/>
      <c r="AY119" s="5"/>
      <c r="AZ119" s="48"/>
      <c r="BA119" s="5"/>
      <c r="BB119" s="48"/>
      <c r="BC119" s="5"/>
      <c r="BD119" s="48"/>
      <c r="BE119" s="5"/>
      <c r="BF119" s="48"/>
      <c r="BG119" s="5"/>
      <c r="BH119" s="48"/>
      <c r="BI119" s="5"/>
      <c r="BJ119" s="48"/>
      <c r="BK119" s="5"/>
      <c r="BL119" s="48"/>
      <c r="BM119" s="5"/>
      <c r="BN119" s="65"/>
      <c r="BO119" s="5"/>
      <c r="BP119" s="128"/>
      <c r="BQ119" s="5"/>
      <c r="BR119" s="4"/>
      <c r="BS119" s="4"/>
      <c r="BT119" s="48"/>
      <c r="BU119" s="86"/>
      <c r="BV119" s="48"/>
      <c r="BW119" s="5"/>
      <c r="BX119" s="74"/>
      <c r="BY119" s="5"/>
      <c r="BZ119" s="48"/>
      <c r="CA119" s="5"/>
      <c r="CB119" s="48"/>
      <c r="CC119" s="5"/>
      <c r="CD119" s="4"/>
      <c r="CE119" s="5"/>
      <c r="CF119" s="48"/>
      <c r="CG119" s="5"/>
      <c r="CH119" s="48"/>
      <c r="CI119" s="5"/>
      <c r="CJ119" s="48"/>
      <c r="CK119" s="5"/>
      <c r="CL119" s="74"/>
      <c r="CM119" s="5"/>
      <c r="CN119" s="74"/>
      <c r="CO119" s="5"/>
      <c r="CP119" s="48"/>
      <c r="CQ119" s="5"/>
      <c r="CR119" s="48"/>
      <c r="CS119" s="5"/>
      <c r="CT119" s="48"/>
      <c r="CU119" s="5"/>
      <c r="CV119" s="112">
        <f t="shared" ref="CV119:CV125" si="46">CN119+CP119+CR119+CT119</f>
        <v>0</v>
      </c>
      <c r="CW119" s="86">
        <f t="shared" ref="CW119:CW125" si="47">CO119+CQ119+CS119+CU119</f>
        <v>0</v>
      </c>
      <c r="CX119" s="112"/>
      <c r="CY119" s="86"/>
      <c r="CZ119" s="4"/>
      <c r="DA119" s="5"/>
      <c r="DB119" s="112"/>
      <c r="DC119" s="86"/>
      <c r="DD119" s="6"/>
      <c r="DE119" s="7"/>
      <c r="DF119" s="51">
        <f t="shared" si="44"/>
        <v>0</v>
      </c>
      <c r="DG119" s="7">
        <f t="shared" si="45"/>
        <v>0</v>
      </c>
      <c r="DH119" s="32"/>
      <c r="DI119" s="33"/>
      <c r="DJ119" s="142"/>
      <c r="DK119" s="142"/>
      <c r="DL119" s="36"/>
    </row>
    <row r="120" spans="1:116" x14ac:dyDescent="0.25">
      <c r="A120" s="4" t="s">
        <v>53</v>
      </c>
      <c r="B120" s="4"/>
      <c r="C120" s="5"/>
      <c r="D120" s="109"/>
      <c r="E120" s="5"/>
      <c r="F120" s="48"/>
      <c r="G120" s="5"/>
      <c r="H120" s="48"/>
      <c r="I120" s="5"/>
      <c r="J120" s="48"/>
      <c r="K120" s="5"/>
      <c r="L120" s="48"/>
      <c r="M120" s="5"/>
      <c r="N120" s="48"/>
      <c r="O120" s="5"/>
      <c r="P120" s="48"/>
      <c r="Q120" s="5"/>
      <c r="R120" s="48"/>
      <c r="S120" s="5"/>
      <c r="T120" s="65"/>
      <c r="U120" s="5"/>
      <c r="V120" s="41"/>
      <c r="W120" s="5"/>
      <c r="X120" s="41">
        <v>1</v>
      </c>
      <c r="Y120" s="5">
        <v>3000</v>
      </c>
      <c r="Z120" s="48"/>
      <c r="AA120" s="5"/>
      <c r="AB120" s="48"/>
      <c r="AC120" s="5"/>
      <c r="AD120" s="74"/>
      <c r="AE120" s="5"/>
      <c r="AF120" s="48"/>
      <c r="AG120" s="5"/>
      <c r="AH120" s="48"/>
      <c r="AI120" s="5"/>
      <c r="AJ120" s="48"/>
      <c r="AK120" s="5"/>
      <c r="AL120" s="48"/>
      <c r="AM120" s="5"/>
      <c r="AN120" s="48"/>
      <c r="AO120" s="5"/>
      <c r="AP120" s="48"/>
      <c r="AQ120" s="5"/>
      <c r="AR120" s="48"/>
      <c r="AS120" s="5"/>
      <c r="AT120" s="48"/>
      <c r="AU120" s="5"/>
      <c r="AV120" s="65"/>
      <c r="AW120" s="5"/>
      <c r="AX120" s="48"/>
      <c r="AY120" s="5"/>
      <c r="AZ120" s="48"/>
      <c r="BA120" s="5"/>
      <c r="BB120" s="48"/>
      <c r="BC120" s="5"/>
      <c r="BD120" s="48"/>
      <c r="BE120" s="5"/>
      <c r="BF120" s="48"/>
      <c r="BG120" s="5"/>
      <c r="BH120" s="48"/>
      <c r="BI120" s="5"/>
      <c r="BJ120" s="48"/>
      <c r="BK120" s="5"/>
      <c r="BL120" s="48"/>
      <c r="BM120" s="5"/>
      <c r="BN120" s="65"/>
      <c r="BO120" s="5"/>
      <c r="BP120" s="128"/>
      <c r="BQ120" s="5"/>
      <c r="BR120" s="4"/>
      <c r="BS120" s="4"/>
      <c r="BT120" s="48"/>
      <c r="BU120" s="86"/>
      <c r="BV120" s="48"/>
      <c r="BW120" s="5"/>
      <c r="BX120" s="74"/>
      <c r="BY120" s="5"/>
      <c r="BZ120" s="48"/>
      <c r="CA120" s="5"/>
      <c r="CB120" s="48"/>
      <c r="CC120" s="5"/>
      <c r="CD120" s="4"/>
      <c r="CE120" s="5"/>
      <c r="CF120" s="48"/>
      <c r="CG120" s="5"/>
      <c r="CH120" s="48"/>
      <c r="CI120" s="5"/>
      <c r="CJ120" s="48">
        <v>1</v>
      </c>
      <c r="CK120" s="5">
        <v>300</v>
      </c>
      <c r="CL120" s="74">
        <v>1</v>
      </c>
      <c r="CM120" s="5">
        <v>500</v>
      </c>
      <c r="CN120" s="74"/>
      <c r="CO120" s="5"/>
      <c r="CP120" s="48"/>
      <c r="CQ120" s="5"/>
      <c r="CR120" s="48"/>
      <c r="CS120" s="5"/>
      <c r="CT120" s="48"/>
      <c r="CU120" s="5"/>
      <c r="CV120" s="112">
        <f t="shared" si="46"/>
        <v>0</v>
      </c>
      <c r="CW120" s="86">
        <f t="shared" si="47"/>
        <v>0</v>
      </c>
      <c r="CX120" s="112"/>
      <c r="CY120" s="86"/>
      <c r="CZ120" s="4"/>
      <c r="DA120" s="5"/>
      <c r="DB120" s="112"/>
      <c r="DC120" s="86"/>
      <c r="DD120" s="6"/>
      <c r="DE120" s="7"/>
      <c r="DF120" s="51">
        <f t="shared" si="44"/>
        <v>3</v>
      </c>
      <c r="DG120" s="7">
        <f t="shared" si="45"/>
        <v>3800</v>
      </c>
      <c r="DH120" s="32">
        <f>DF120+9</f>
        <v>12</v>
      </c>
      <c r="DI120" s="33">
        <f>DG120+9970</f>
        <v>13770</v>
      </c>
      <c r="DJ120" s="142"/>
      <c r="DK120" s="142"/>
      <c r="DL120" s="36"/>
    </row>
    <row r="121" spans="1:116" ht="15.75" hidden="1" customHeight="1" x14ac:dyDescent="0.25">
      <c r="A121" s="4" t="s">
        <v>207</v>
      </c>
      <c r="B121" s="4"/>
      <c r="C121" s="5"/>
      <c r="D121" s="109"/>
      <c r="E121" s="5"/>
      <c r="F121" s="48"/>
      <c r="G121" s="5"/>
      <c r="H121" s="48"/>
      <c r="I121" s="5"/>
      <c r="J121" s="48"/>
      <c r="K121" s="5"/>
      <c r="L121" s="48"/>
      <c r="M121" s="5"/>
      <c r="N121" s="48"/>
      <c r="O121" s="5"/>
      <c r="P121" s="48"/>
      <c r="Q121" s="5"/>
      <c r="R121" s="48"/>
      <c r="S121" s="5"/>
      <c r="T121" s="65"/>
      <c r="U121" s="5"/>
      <c r="V121" s="41"/>
      <c r="W121" s="5"/>
      <c r="X121" s="41"/>
      <c r="Y121" s="5"/>
      <c r="Z121" s="48"/>
      <c r="AA121" s="5"/>
      <c r="AB121" s="48"/>
      <c r="AC121" s="5"/>
      <c r="AD121" s="74"/>
      <c r="AE121" s="5"/>
      <c r="AF121" s="48"/>
      <c r="AG121" s="5"/>
      <c r="AH121" s="48"/>
      <c r="AI121" s="5"/>
      <c r="AJ121" s="48"/>
      <c r="AK121" s="5"/>
      <c r="AL121" s="48"/>
      <c r="AM121" s="5"/>
      <c r="AN121" s="48"/>
      <c r="AO121" s="5"/>
      <c r="AP121" s="48"/>
      <c r="AQ121" s="5"/>
      <c r="AR121" s="48"/>
      <c r="AS121" s="5"/>
      <c r="AT121" s="48"/>
      <c r="AU121" s="5"/>
      <c r="AV121" s="65"/>
      <c r="AW121" s="5"/>
      <c r="AX121" s="48"/>
      <c r="AY121" s="5"/>
      <c r="AZ121" s="48"/>
      <c r="BA121" s="5"/>
      <c r="BB121" s="48"/>
      <c r="BC121" s="5"/>
      <c r="BD121" s="48"/>
      <c r="BE121" s="5"/>
      <c r="BF121" s="48"/>
      <c r="BG121" s="5"/>
      <c r="BH121" s="48"/>
      <c r="BI121" s="5"/>
      <c r="BJ121" s="48"/>
      <c r="BK121" s="5"/>
      <c r="BL121" s="48"/>
      <c r="BM121" s="5"/>
      <c r="BN121" s="65"/>
      <c r="BO121" s="5"/>
      <c r="BP121" s="128"/>
      <c r="BQ121" s="5"/>
      <c r="BR121" s="4"/>
      <c r="BS121" s="4"/>
      <c r="BT121" s="48"/>
      <c r="BU121" s="86"/>
      <c r="BV121" s="48"/>
      <c r="BW121" s="5"/>
      <c r="BX121" s="74"/>
      <c r="BY121" s="5"/>
      <c r="BZ121" s="48"/>
      <c r="CA121" s="5"/>
      <c r="CB121" s="48"/>
      <c r="CC121" s="5"/>
      <c r="CD121" s="4"/>
      <c r="CE121" s="5"/>
      <c r="CF121" s="48"/>
      <c r="CG121" s="5"/>
      <c r="CH121" s="48"/>
      <c r="CI121" s="5"/>
      <c r="CJ121" s="48"/>
      <c r="CK121" s="5"/>
      <c r="CL121" s="74"/>
      <c r="CM121" s="5"/>
      <c r="CN121" s="74"/>
      <c r="CO121" s="5"/>
      <c r="CP121" s="48"/>
      <c r="CQ121" s="5"/>
      <c r="CR121" s="48"/>
      <c r="CS121" s="5"/>
      <c r="CT121" s="48"/>
      <c r="CU121" s="5"/>
      <c r="CV121" s="112">
        <f t="shared" si="46"/>
        <v>0</v>
      </c>
      <c r="CW121" s="86">
        <f t="shared" si="47"/>
        <v>0</v>
      </c>
      <c r="CX121" s="112"/>
      <c r="CY121" s="86"/>
      <c r="CZ121" s="4"/>
      <c r="DA121" s="5"/>
      <c r="DB121" s="112"/>
      <c r="DC121" s="86"/>
      <c r="DD121" s="6"/>
      <c r="DE121" s="7"/>
      <c r="DF121" s="51">
        <f t="shared" si="44"/>
        <v>0</v>
      </c>
      <c r="DG121" s="7">
        <f t="shared" si="45"/>
        <v>0</v>
      </c>
      <c r="DH121" s="32"/>
      <c r="DI121" s="33"/>
      <c r="DJ121" s="142"/>
      <c r="DK121" s="142"/>
      <c r="DL121" s="36"/>
    </row>
    <row r="122" spans="1:116" x14ac:dyDescent="0.25">
      <c r="A122" s="4" t="s">
        <v>54</v>
      </c>
      <c r="B122" s="4">
        <v>3</v>
      </c>
      <c r="C122" s="5">
        <v>7440</v>
      </c>
      <c r="D122" s="109">
        <v>3</v>
      </c>
      <c r="E122" s="5">
        <v>9679</v>
      </c>
      <c r="F122" s="48">
        <v>5</v>
      </c>
      <c r="G122" s="5">
        <v>13700</v>
      </c>
      <c r="H122" s="48">
        <v>6</v>
      </c>
      <c r="I122" s="5">
        <v>7500</v>
      </c>
      <c r="J122" s="48">
        <v>7</v>
      </c>
      <c r="K122" s="5">
        <v>12100</v>
      </c>
      <c r="L122" s="48">
        <v>4</v>
      </c>
      <c r="M122" s="5">
        <v>6036</v>
      </c>
      <c r="N122" s="48">
        <v>6</v>
      </c>
      <c r="O122" s="5">
        <v>15700</v>
      </c>
      <c r="P122" s="48">
        <v>7</v>
      </c>
      <c r="Q122" s="5">
        <v>19100</v>
      </c>
      <c r="R122" s="48">
        <v>5</v>
      </c>
      <c r="S122" s="5">
        <v>7900</v>
      </c>
      <c r="T122" s="65">
        <v>10</v>
      </c>
      <c r="U122" s="5">
        <v>30454</v>
      </c>
      <c r="V122" s="41">
        <v>12</v>
      </c>
      <c r="W122" s="5">
        <v>33600</v>
      </c>
      <c r="X122" s="41">
        <v>6</v>
      </c>
      <c r="Y122" s="5">
        <v>18500</v>
      </c>
      <c r="Z122" s="48">
        <v>5</v>
      </c>
      <c r="AA122" s="5">
        <v>7500</v>
      </c>
      <c r="AB122" s="48">
        <v>9</v>
      </c>
      <c r="AC122" s="5">
        <v>27000</v>
      </c>
      <c r="AD122" s="74">
        <v>6</v>
      </c>
      <c r="AE122" s="5">
        <v>14200</v>
      </c>
      <c r="AF122" s="48">
        <v>2</v>
      </c>
      <c r="AG122" s="5">
        <v>3200</v>
      </c>
      <c r="AH122" s="48">
        <v>4</v>
      </c>
      <c r="AI122" s="5">
        <v>14160</v>
      </c>
      <c r="AJ122" s="48">
        <v>14</v>
      </c>
      <c r="AK122" s="5">
        <v>28480</v>
      </c>
      <c r="AL122" s="48">
        <v>9</v>
      </c>
      <c r="AM122" s="5">
        <v>11004</v>
      </c>
      <c r="AN122" s="48">
        <v>8</v>
      </c>
      <c r="AO122" s="5">
        <v>23250</v>
      </c>
      <c r="AP122" s="48">
        <v>7</v>
      </c>
      <c r="AQ122" s="5">
        <v>14150</v>
      </c>
      <c r="AR122" s="48">
        <v>6</v>
      </c>
      <c r="AS122" s="5">
        <v>7500</v>
      </c>
      <c r="AT122" s="48">
        <v>7</v>
      </c>
      <c r="AU122" s="5">
        <v>10400</v>
      </c>
      <c r="AV122" s="65">
        <v>5</v>
      </c>
      <c r="AW122" s="5">
        <v>6300</v>
      </c>
      <c r="AX122" s="48">
        <v>10</v>
      </c>
      <c r="AY122" s="5">
        <v>27100</v>
      </c>
      <c r="AZ122" s="48">
        <v>4</v>
      </c>
      <c r="BA122" s="5">
        <v>6200</v>
      </c>
      <c r="BB122" s="48">
        <v>7</v>
      </c>
      <c r="BC122" s="5">
        <v>11800</v>
      </c>
      <c r="BD122" s="48">
        <v>8</v>
      </c>
      <c r="BE122" s="5">
        <v>16200</v>
      </c>
      <c r="BF122" s="48">
        <v>7</v>
      </c>
      <c r="BG122" s="5">
        <v>14550</v>
      </c>
      <c r="BH122" s="48">
        <v>6</v>
      </c>
      <c r="BI122" s="5">
        <v>13040</v>
      </c>
      <c r="BJ122" s="48">
        <v>10</v>
      </c>
      <c r="BK122" s="5">
        <v>24370</v>
      </c>
      <c r="BL122" s="48">
        <v>6</v>
      </c>
      <c r="BM122" s="5">
        <v>6500</v>
      </c>
      <c r="BN122" s="65">
        <v>4</v>
      </c>
      <c r="BO122" s="5">
        <v>3000</v>
      </c>
      <c r="BP122" s="127">
        <v>1</v>
      </c>
      <c r="BQ122" s="5">
        <v>5000</v>
      </c>
      <c r="BR122" s="65">
        <v>3</v>
      </c>
      <c r="BS122" s="5">
        <v>9000</v>
      </c>
      <c r="BT122" s="48">
        <v>6</v>
      </c>
      <c r="BU122" s="86">
        <v>6400</v>
      </c>
      <c r="BV122" s="48">
        <v>3</v>
      </c>
      <c r="BW122" s="5">
        <v>4500</v>
      </c>
      <c r="BX122" s="74">
        <v>6</v>
      </c>
      <c r="BY122" s="5">
        <v>4700</v>
      </c>
      <c r="BZ122" s="48">
        <v>5</v>
      </c>
      <c r="CA122" s="5">
        <v>3900</v>
      </c>
      <c r="CB122" s="48">
        <v>3</v>
      </c>
      <c r="CC122" s="5">
        <v>8200</v>
      </c>
      <c r="CD122" s="48">
        <v>1</v>
      </c>
      <c r="CE122" s="5">
        <v>4500</v>
      </c>
      <c r="CF122" s="48">
        <v>6</v>
      </c>
      <c r="CG122" s="5">
        <v>8930</v>
      </c>
      <c r="CH122" s="48">
        <v>5</v>
      </c>
      <c r="CI122" s="5">
        <v>14280</v>
      </c>
      <c r="CJ122" s="48">
        <v>3</v>
      </c>
      <c r="CK122" s="5">
        <v>8800</v>
      </c>
      <c r="CL122" s="74">
        <v>5</v>
      </c>
      <c r="CM122" s="5">
        <v>9450</v>
      </c>
      <c r="CN122" s="74">
        <v>4</v>
      </c>
      <c r="CO122" s="5">
        <v>5700</v>
      </c>
      <c r="CP122" s="48">
        <v>3</v>
      </c>
      <c r="CQ122" s="5">
        <v>1700</v>
      </c>
      <c r="CR122" s="48">
        <v>7</v>
      </c>
      <c r="CS122" s="5">
        <v>13390</v>
      </c>
      <c r="CT122" s="48">
        <v>10</v>
      </c>
      <c r="CU122" s="5">
        <v>16550</v>
      </c>
      <c r="CV122" s="112">
        <f t="shared" si="46"/>
        <v>24</v>
      </c>
      <c r="CW122" s="86">
        <f t="shared" si="47"/>
        <v>37340</v>
      </c>
      <c r="CX122" s="112"/>
      <c r="CY122" s="86"/>
      <c r="CZ122" s="4"/>
      <c r="DA122" s="5"/>
      <c r="DB122" s="112"/>
      <c r="DC122" s="86"/>
      <c r="DD122" s="6"/>
      <c r="DE122" s="7"/>
      <c r="DF122" s="51">
        <f t="shared" si="44"/>
        <v>289</v>
      </c>
      <c r="DG122" s="7">
        <f t="shared" si="45"/>
        <v>596613</v>
      </c>
      <c r="DH122" s="32">
        <f>DF122+1867</f>
        <v>2156</v>
      </c>
      <c r="DI122" s="33">
        <f>DG122+2007281</f>
        <v>2603894</v>
      </c>
      <c r="DJ122" s="142"/>
      <c r="DK122" s="142"/>
      <c r="DL122" s="36"/>
    </row>
    <row r="123" spans="1:116" ht="15" customHeight="1" x14ac:dyDescent="0.25">
      <c r="A123" s="4" t="s">
        <v>55</v>
      </c>
      <c r="B123" s="4"/>
      <c r="C123" s="5"/>
      <c r="D123" s="109"/>
      <c r="E123" s="5"/>
      <c r="F123" s="48"/>
      <c r="G123" s="5"/>
      <c r="H123" s="48"/>
      <c r="I123" s="5"/>
      <c r="J123" s="48"/>
      <c r="K123" s="5"/>
      <c r="L123" s="48"/>
      <c r="M123" s="5"/>
      <c r="N123" s="48"/>
      <c r="O123" s="5"/>
      <c r="P123" s="48"/>
      <c r="Q123" s="5"/>
      <c r="R123" s="48"/>
      <c r="S123" s="5"/>
      <c r="T123" s="65"/>
      <c r="U123" s="5"/>
      <c r="V123" s="41"/>
      <c r="W123" s="5"/>
      <c r="X123" s="41"/>
      <c r="Y123" s="5"/>
      <c r="Z123" s="48"/>
      <c r="AA123" s="5"/>
      <c r="AB123" s="48"/>
      <c r="AC123" s="5"/>
      <c r="AD123" s="74">
        <v>1</v>
      </c>
      <c r="AE123" s="5">
        <v>800</v>
      </c>
      <c r="AF123" s="48"/>
      <c r="AG123" s="5"/>
      <c r="AH123" s="48"/>
      <c r="AI123" s="5"/>
      <c r="AJ123" s="48"/>
      <c r="AK123" s="5"/>
      <c r="AL123" s="48"/>
      <c r="AM123" s="5"/>
      <c r="AN123" s="48"/>
      <c r="AO123" s="5"/>
      <c r="AP123" s="48">
        <v>1</v>
      </c>
      <c r="AQ123" s="5">
        <v>900</v>
      </c>
      <c r="AR123" s="48"/>
      <c r="AS123" s="5"/>
      <c r="AT123" s="48"/>
      <c r="AU123" s="5"/>
      <c r="AV123" s="65"/>
      <c r="AW123" s="5"/>
      <c r="AX123" s="48"/>
      <c r="AY123" s="5"/>
      <c r="AZ123" s="48"/>
      <c r="BA123" s="5"/>
      <c r="BB123" s="48"/>
      <c r="BC123" s="5"/>
      <c r="BD123" s="48"/>
      <c r="BE123" s="5"/>
      <c r="BF123" s="48"/>
      <c r="BG123" s="5"/>
      <c r="BH123" s="48"/>
      <c r="BI123" s="5"/>
      <c r="BJ123" s="48"/>
      <c r="BK123" s="5"/>
      <c r="BL123" s="48"/>
      <c r="BM123" s="5"/>
      <c r="BN123" s="65"/>
      <c r="BO123" s="5"/>
      <c r="BP123" s="128"/>
      <c r="BQ123" s="5"/>
      <c r="BR123" s="4"/>
      <c r="BS123" s="4"/>
      <c r="BT123" s="48"/>
      <c r="BU123" s="86"/>
      <c r="BV123" s="48"/>
      <c r="BW123" s="5"/>
      <c r="BX123" s="74"/>
      <c r="BY123" s="5"/>
      <c r="BZ123" s="48"/>
      <c r="CA123" s="5"/>
      <c r="CB123" s="48">
        <v>1</v>
      </c>
      <c r="CC123" s="5">
        <v>2060</v>
      </c>
      <c r="CD123" s="4"/>
      <c r="CE123" s="5"/>
      <c r="CF123" s="48"/>
      <c r="CG123" s="5"/>
      <c r="CH123" s="48"/>
      <c r="CI123" s="5"/>
      <c r="CJ123" s="48"/>
      <c r="CK123" s="5"/>
      <c r="CL123" s="74"/>
      <c r="CM123" s="5"/>
      <c r="CN123" s="74"/>
      <c r="CO123" s="5"/>
      <c r="CP123" s="48"/>
      <c r="CQ123" s="5"/>
      <c r="CR123" s="48"/>
      <c r="CS123" s="5"/>
      <c r="CT123" s="48"/>
      <c r="CU123" s="5"/>
      <c r="CV123" s="112">
        <f t="shared" si="46"/>
        <v>0</v>
      </c>
      <c r="CW123" s="86">
        <f t="shared" si="47"/>
        <v>0</v>
      </c>
      <c r="CX123" s="112"/>
      <c r="CY123" s="86"/>
      <c r="CZ123" s="4"/>
      <c r="DA123" s="5"/>
      <c r="DB123" s="112"/>
      <c r="DC123" s="86"/>
      <c r="DD123" s="6"/>
      <c r="DE123" s="7"/>
      <c r="DF123" s="51">
        <f t="shared" si="44"/>
        <v>3</v>
      </c>
      <c r="DG123" s="7">
        <f t="shared" si="45"/>
        <v>3760</v>
      </c>
      <c r="DH123" s="32">
        <f>DF123+16</f>
        <v>19</v>
      </c>
      <c r="DI123" s="33">
        <f>DG123+10150</f>
        <v>13910</v>
      </c>
      <c r="DJ123" s="142"/>
      <c r="DK123" s="142"/>
      <c r="DL123" s="36"/>
    </row>
    <row r="124" spans="1:116" ht="15.75" hidden="1" customHeight="1" x14ac:dyDescent="0.25">
      <c r="A124" s="4" t="s">
        <v>189</v>
      </c>
      <c r="B124" s="4"/>
      <c r="C124" s="5"/>
      <c r="D124" s="109"/>
      <c r="E124" s="5"/>
      <c r="F124" s="48"/>
      <c r="G124" s="5"/>
      <c r="H124" s="48"/>
      <c r="I124" s="5"/>
      <c r="J124" s="48"/>
      <c r="K124" s="5"/>
      <c r="L124" s="48"/>
      <c r="M124" s="5"/>
      <c r="N124" s="48"/>
      <c r="O124" s="5"/>
      <c r="P124" s="48"/>
      <c r="Q124" s="5"/>
      <c r="R124" s="48"/>
      <c r="S124" s="5"/>
      <c r="T124" s="65"/>
      <c r="U124" s="5"/>
      <c r="V124" s="41"/>
      <c r="W124" s="5"/>
      <c r="X124" s="41"/>
      <c r="Y124" s="5"/>
      <c r="Z124" s="48"/>
      <c r="AA124" s="5"/>
      <c r="AB124" s="48"/>
      <c r="AC124" s="5"/>
      <c r="AD124" s="74"/>
      <c r="AE124" s="5"/>
      <c r="AF124" s="48"/>
      <c r="AG124" s="5"/>
      <c r="AH124" s="48"/>
      <c r="AI124" s="5"/>
      <c r="AJ124" s="48"/>
      <c r="AK124" s="5"/>
      <c r="AL124" s="48"/>
      <c r="AM124" s="5"/>
      <c r="AN124" s="48"/>
      <c r="AO124" s="5"/>
      <c r="AP124" s="48"/>
      <c r="AQ124" s="5"/>
      <c r="AR124" s="48"/>
      <c r="AS124" s="5"/>
      <c r="AT124" s="48"/>
      <c r="AU124" s="5"/>
      <c r="AV124" s="65"/>
      <c r="AW124" s="5"/>
      <c r="AX124" s="48"/>
      <c r="AY124" s="5"/>
      <c r="AZ124" s="48"/>
      <c r="BA124" s="5"/>
      <c r="BB124" s="48"/>
      <c r="BC124" s="5"/>
      <c r="BD124" s="48"/>
      <c r="BE124" s="5"/>
      <c r="BF124" s="48"/>
      <c r="BG124" s="5"/>
      <c r="BH124" s="48"/>
      <c r="BI124" s="5"/>
      <c r="BJ124" s="48"/>
      <c r="BK124" s="5"/>
      <c r="BL124" s="48"/>
      <c r="BM124" s="5"/>
      <c r="BN124" s="65"/>
      <c r="BO124" s="5"/>
      <c r="BP124" s="128"/>
      <c r="BQ124" s="5"/>
      <c r="BR124" s="4"/>
      <c r="BS124" s="4"/>
      <c r="BT124" s="48"/>
      <c r="BU124" s="86"/>
      <c r="BV124" s="48"/>
      <c r="BW124" s="5"/>
      <c r="BX124" s="74"/>
      <c r="BY124" s="5"/>
      <c r="BZ124" s="48"/>
      <c r="CA124" s="5"/>
      <c r="CB124" s="48"/>
      <c r="CC124" s="5"/>
      <c r="CD124" s="4"/>
      <c r="CE124" s="5"/>
      <c r="CF124" s="48"/>
      <c r="CG124" s="5"/>
      <c r="CH124" s="48"/>
      <c r="CI124" s="5"/>
      <c r="CJ124" s="48"/>
      <c r="CK124" s="5"/>
      <c r="CL124" s="74"/>
      <c r="CM124" s="5"/>
      <c r="CN124" s="74"/>
      <c r="CO124" s="5"/>
      <c r="CP124" s="48"/>
      <c r="CQ124" s="5"/>
      <c r="CR124" s="48"/>
      <c r="CS124" s="5"/>
      <c r="CT124" s="48"/>
      <c r="CU124" s="5"/>
      <c r="CV124" s="72">
        <f t="shared" si="46"/>
        <v>0</v>
      </c>
      <c r="CW124" s="13">
        <f t="shared" si="47"/>
        <v>0</v>
      </c>
      <c r="CX124" s="72"/>
      <c r="CY124" s="13"/>
      <c r="CZ124" s="4"/>
      <c r="DA124" s="5"/>
      <c r="DB124" s="112"/>
      <c r="DC124" s="86"/>
      <c r="DD124" s="6"/>
      <c r="DE124" s="7"/>
      <c r="DF124" s="51">
        <f t="shared" si="44"/>
        <v>0</v>
      </c>
      <c r="DG124" s="7">
        <f t="shared" si="45"/>
        <v>0</v>
      </c>
      <c r="DH124" s="32"/>
      <c r="DI124" s="33"/>
      <c r="DJ124" s="142"/>
      <c r="DK124" s="142"/>
      <c r="DL124" s="36"/>
    </row>
    <row r="125" spans="1:116" x14ac:dyDescent="0.25">
      <c r="A125" s="8" t="s">
        <v>60</v>
      </c>
      <c r="B125" s="75">
        <f>SUM(B56:B123)</f>
        <v>8</v>
      </c>
      <c r="C125" s="54">
        <f t="shared" ref="C125:AG125" si="48">SUM(C56:C123)</f>
        <v>14440</v>
      </c>
      <c r="D125" s="110">
        <f t="shared" si="48"/>
        <v>3</v>
      </c>
      <c r="E125" s="20">
        <f t="shared" si="48"/>
        <v>9679</v>
      </c>
      <c r="F125" s="49">
        <f t="shared" si="48"/>
        <v>6</v>
      </c>
      <c r="G125" s="20">
        <f t="shared" si="48"/>
        <v>15500</v>
      </c>
      <c r="H125" s="53">
        <f t="shared" si="48"/>
        <v>7</v>
      </c>
      <c r="I125" s="54">
        <f t="shared" si="48"/>
        <v>7600</v>
      </c>
      <c r="J125" s="53">
        <f t="shared" si="48"/>
        <v>9</v>
      </c>
      <c r="K125" s="54">
        <f t="shared" si="48"/>
        <v>17722</v>
      </c>
      <c r="L125" s="53">
        <f t="shared" si="48"/>
        <v>7</v>
      </c>
      <c r="M125" s="54">
        <f t="shared" si="48"/>
        <v>13986</v>
      </c>
      <c r="N125" s="53">
        <f t="shared" si="48"/>
        <v>9</v>
      </c>
      <c r="O125" s="54">
        <f t="shared" si="48"/>
        <v>21430</v>
      </c>
      <c r="P125" s="53">
        <f t="shared" si="48"/>
        <v>12</v>
      </c>
      <c r="Q125" s="54">
        <f>SUM(Q56:Q123)</f>
        <v>32500</v>
      </c>
      <c r="R125" s="53">
        <f t="shared" si="48"/>
        <v>10</v>
      </c>
      <c r="S125" s="54">
        <f t="shared" si="48"/>
        <v>19100</v>
      </c>
      <c r="T125" s="66">
        <f>SUM(T56:T123)</f>
        <v>12</v>
      </c>
      <c r="U125" s="54">
        <f t="shared" si="48"/>
        <v>32954</v>
      </c>
      <c r="V125" s="70">
        <f t="shared" si="48"/>
        <v>19</v>
      </c>
      <c r="W125" s="54">
        <f t="shared" si="48"/>
        <v>51150</v>
      </c>
      <c r="X125" s="70">
        <f t="shared" si="48"/>
        <v>13</v>
      </c>
      <c r="Y125" s="54">
        <f t="shared" si="48"/>
        <v>38400</v>
      </c>
      <c r="Z125" s="53">
        <f>SUM(Z56:Z123)</f>
        <v>12</v>
      </c>
      <c r="AA125" s="54">
        <f t="shared" si="48"/>
        <v>27895</v>
      </c>
      <c r="AB125" s="53">
        <f t="shared" si="48"/>
        <v>11</v>
      </c>
      <c r="AC125" s="54">
        <f t="shared" si="48"/>
        <v>32120</v>
      </c>
      <c r="AD125" s="75">
        <f t="shared" si="48"/>
        <v>9</v>
      </c>
      <c r="AE125" s="54">
        <f>SUM(AE56:AE123)</f>
        <v>20390</v>
      </c>
      <c r="AF125" s="53">
        <f t="shared" si="48"/>
        <v>5</v>
      </c>
      <c r="AG125" s="54">
        <f t="shared" si="48"/>
        <v>6255</v>
      </c>
      <c r="AH125" s="53">
        <f t="shared" ref="AH125:BM125" si="49">SUM(AH56:AH123)</f>
        <v>9</v>
      </c>
      <c r="AI125" s="54">
        <f t="shared" si="49"/>
        <v>24360</v>
      </c>
      <c r="AJ125" s="53">
        <f t="shared" si="49"/>
        <v>18</v>
      </c>
      <c r="AK125" s="54">
        <f t="shared" si="49"/>
        <v>31605</v>
      </c>
      <c r="AL125" s="53">
        <f t="shared" si="49"/>
        <v>14</v>
      </c>
      <c r="AM125" s="54">
        <f t="shared" si="49"/>
        <v>17204</v>
      </c>
      <c r="AN125" s="53">
        <f t="shared" si="49"/>
        <v>10</v>
      </c>
      <c r="AO125" s="54">
        <f t="shared" si="49"/>
        <v>24950</v>
      </c>
      <c r="AP125" s="53">
        <f t="shared" si="49"/>
        <v>13</v>
      </c>
      <c r="AQ125" s="54">
        <f t="shared" si="49"/>
        <v>25600</v>
      </c>
      <c r="AR125" s="53">
        <f t="shared" si="49"/>
        <v>10</v>
      </c>
      <c r="AS125" s="54">
        <f t="shared" si="49"/>
        <v>9600</v>
      </c>
      <c r="AT125" s="53">
        <f t="shared" si="49"/>
        <v>9</v>
      </c>
      <c r="AU125" s="54">
        <f t="shared" si="49"/>
        <v>11600</v>
      </c>
      <c r="AV125" s="66">
        <f>SUM(AV56:AV123)</f>
        <v>7</v>
      </c>
      <c r="AW125" s="54">
        <f>SUM(AW56:AW123)</f>
        <v>11800</v>
      </c>
      <c r="AX125" s="66">
        <f>SUM(AX56:AX123)</f>
        <v>16</v>
      </c>
      <c r="AY125" s="54">
        <f>SUM(AY56:AY123)</f>
        <v>37300</v>
      </c>
      <c r="AZ125" s="53">
        <f t="shared" si="49"/>
        <v>8</v>
      </c>
      <c r="BA125" s="54">
        <f t="shared" si="49"/>
        <v>12700</v>
      </c>
      <c r="BB125" s="53">
        <f t="shared" si="49"/>
        <v>13</v>
      </c>
      <c r="BC125" s="54">
        <f t="shared" si="49"/>
        <v>17900</v>
      </c>
      <c r="BD125" s="53">
        <f t="shared" si="49"/>
        <v>12</v>
      </c>
      <c r="BE125" s="54">
        <f t="shared" si="49"/>
        <v>24900</v>
      </c>
      <c r="BF125" s="53">
        <f t="shared" si="49"/>
        <v>11</v>
      </c>
      <c r="BG125" s="54">
        <f t="shared" si="49"/>
        <v>20350</v>
      </c>
      <c r="BH125" s="53">
        <f t="shared" si="49"/>
        <v>9</v>
      </c>
      <c r="BI125" s="54">
        <f>SUM(BI56:BI123)</f>
        <v>20540</v>
      </c>
      <c r="BJ125" s="53">
        <f t="shared" si="49"/>
        <v>10</v>
      </c>
      <c r="BK125" s="54">
        <f t="shared" si="49"/>
        <v>24370</v>
      </c>
      <c r="BL125" s="53">
        <f t="shared" si="49"/>
        <v>8</v>
      </c>
      <c r="BM125" s="54">
        <f t="shared" si="49"/>
        <v>8100</v>
      </c>
      <c r="BN125" s="66">
        <f>SUM(BN56:BN123)</f>
        <v>5</v>
      </c>
      <c r="BO125" s="54">
        <f t="shared" ref="BO125:CS125" si="50">SUM(BO56:BO123)</f>
        <v>4000</v>
      </c>
      <c r="BP125" s="155">
        <f>SUM(BP56:BP123)</f>
        <v>7</v>
      </c>
      <c r="BQ125" s="54">
        <f t="shared" si="50"/>
        <v>14400</v>
      </c>
      <c r="BR125" s="66">
        <f t="shared" si="50"/>
        <v>5</v>
      </c>
      <c r="BS125" s="54">
        <f t="shared" si="50"/>
        <v>12800</v>
      </c>
      <c r="BT125" s="53">
        <f t="shared" si="50"/>
        <v>11</v>
      </c>
      <c r="BU125" s="87">
        <f t="shared" si="50"/>
        <v>11700</v>
      </c>
      <c r="BV125" s="53">
        <f>SUM(BV56:BV123)</f>
        <v>6</v>
      </c>
      <c r="BW125" s="54">
        <f t="shared" si="50"/>
        <v>9870</v>
      </c>
      <c r="BX125" s="75">
        <f t="shared" si="50"/>
        <v>7</v>
      </c>
      <c r="BY125" s="54">
        <f t="shared" si="50"/>
        <v>6700</v>
      </c>
      <c r="BZ125" s="53">
        <f t="shared" si="50"/>
        <v>6</v>
      </c>
      <c r="CA125" s="54">
        <f t="shared" si="50"/>
        <v>5900</v>
      </c>
      <c r="CB125" s="53">
        <f>SUM(CB56:CB123)</f>
        <v>9</v>
      </c>
      <c r="CC125" s="54">
        <f t="shared" si="50"/>
        <v>17260</v>
      </c>
      <c r="CD125" s="75">
        <f t="shared" si="50"/>
        <v>3</v>
      </c>
      <c r="CE125" s="54">
        <f t="shared" si="50"/>
        <v>5100</v>
      </c>
      <c r="CF125" s="53">
        <f t="shared" si="50"/>
        <v>7</v>
      </c>
      <c r="CG125" s="54">
        <f t="shared" si="50"/>
        <v>9130</v>
      </c>
      <c r="CH125" s="53">
        <f t="shared" si="50"/>
        <v>6</v>
      </c>
      <c r="CI125" s="54">
        <f t="shared" si="50"/>
        <v>14480</v>
      </c>
      <c r="CJ125" s="53">
        <f t="shared" si="50"/>
        <v>8</v>
      </c>
      <c r="CK125" s="54">
        <f t="shared" si="50"/>
        <v>15100</v>
      </c>
      <c r="CL125" s="75">
        <f t="shared" si="50"/>
        <v>11</v>
      </c>
      <c r="CM125" s="54">
        <f t="shared" si="50"/>
        <v>22250</v>
      </c>
      <c r="CN125" s="75">
        <f t="shared" si="50"/>
        <v>5</v>
      </c>
      <c r="CO125" s="54">
        <f t="shared" si="50"/>
        <v>6100</v>
      </c>
      <c r="CP125" s="53">
        <f t="shared" si="50"/>
        <v>6</v>
      </c>
      <c r="CQ125" s="54">
        <f t="shared" si="50"/>
        <v>7300</v>
      </c>
      <c r="CR125" s="53">
        <f t="shared" si="50"/>
        <v>9</v>
      </c>
      <c r="CS125" s="54">
        <f t="shared" si="50"/>
        <v>16290</v>
      </c>
      <c r="CT125" s="53">
        <f>SUM(CT56:CT123)</f>
        <v>14</v>
      </c>
      <c r="CU125" s="54">
        <f t="shared" ref="CU125:DE125" si="51">SUM(CU56:CU123)</f>
        <v>22950</v>
      </c>
      <c r="CV125" s="72">
        <f t="shared" si="46"/>
        <v>34</v>
      </c>
      <c r="CW125" s="13">
        <f t="shared" si="47"/>
        <v>52640</v>
      </c>
      <c r="CX125" s="53">
        <f>SUM(CX56:CX123)</f>
        <v>0</v>
      </c>
      <c r="CY125" s="54">
        <f t="shared" si="51"/>
        <v>0</v>
      </c>
      <c r="CZ125" s="75">
        <f t="shared" si="51"/>
        <v>0</v>
      </c>
      <c r="DA125" s="54">
        <f t="shared" si="51"/>
        <v>0</v>
      </c>
      <c r="DB125" s="112">
        <f t="shared" ref="DB125" si="52">CR125+CT125+CX125+CZ125</f>
        <v>23</v>
      </c>
      <c r="DC125" s="86">
        <f t="shared" ref="DC125" si="53">CS125+CU125+CY125+DA125</f>
        <v>39240</v>
      </c>
      <c r="DD125" s="54">
        <f t="shared" si="51"/>
        <v>0</v>
      </c>
      <c r="DE125" s="54">
        <f t="shared" si="51"/>
        <v>0</v>
      </c>
      <c r="DF125" s="105">
        <f>B125+CZ125+DD125+D125+F125+H125+J125+L125+N125+P125+R125+T125+V125+X125+Z125+AB125+AD125+AF125+AH125+AJ125+AL125+AN125+AP125+AR125+AT125+AV125+AX125+AZ125+BB125+BD125+BF125+BH125+BJ125+BL125+BN125+BP125+BR125+BT125+BV125+BX125+BZ125+CB125+CD125+CF125+CH125+CJ125+CL125+CN125+CP125+CR125+CT125+CX125</f>
        <v>454</v>
      </c>
      <c r="DG125" s="31">
        <f>C125+DA125+DE125+E125+G125+I125+K125+M125+O125+Q125+S125+U125+W125+Y125+AA125+AC125+AE125+AG125+AI125+AK125+AM125+AO125+AQ125+AS125+AU125+AW125+AY125+BA125+BC125+BE125+BG125+BI125+BK125+BM125+BO125+BQ125+BS125+BU125+BW125+BY125+CA125+CC125+CE125+CG125+CI125+CK125+CM125+CO125+CQ125+CS125+CU125+CY125</f>
        <v>885330</v>
      </c>
      <c r="DH125" s="55">
        <f>SUM(DH56:DH124)</f>
        <v>3455</v>
      </c>
      <c r="DI125" s="56">
        <f>SUM(DI56:DI124)</f>
        <v>3990273</v>
      </c>
      <c r="DJ125" s="142"/>
      <c r="DK125" s="142"/>
      <c r="DL125" s="36"/>
    </row>
    <row r="126" spans="1:116" ht="22.5" customHeight="1" x14ac:dyDescent="0.25">
      <c r="DA126" s="1"/>
      <c r="DB126" s="1"/>
      <c r="DC126" s="1"/>
      <c r="DE126" s="1"/>
      <c r="DJ126" s="28"/>
      <c r="DK126" s="28"/>
    </row>
    <row r="127" spans="1:116" ht="62.25" customHeight="1" x14ac:dyDescent="0.25">
      <c r="A127" s="396" t="s">
        <v>56</v>
      </c>
      <c r="B127" s="349" t="str">
        <f>B13</f>
        <v>За отчетный период с 09.01.2020 по 17.01.2020</v>
      </c>
      <c r="C127" s="350"/>
      <c r="D127" s="377" t="str">
        <f>D13</f>
        <v>За отчетный период с 18.01.2020 по 24.01.2020</v>
      </c>
      <c r="E127" s="378"/>
      <c r="F127" s="377" t="str">
        <f>F13</f>
        <v>За отчетный период с 25.01.2020 по 31.01.2022</v>
      </c>
      <c r="G127" s="378"/>
      <c r="H127" s="377" t="str">
        <f>H13</f>
        <v>За отчетный период с 01.02.2020 по 07.02.2020</v>
      </c>
      <c r="I127" s="378"/>
      <c r="J127" s="377" t="str">
        <f>J13</f>
        <v>За отчетный период с 09.02.2020 по 14.02.2020</v>
      </c>
      <c r="K127" s="378"/>
      <c r="L127" s="377" t="str">
        <f>L13</f>
        <v>За отчетный период с 15.02.2020 по 21.02.2020</v>
      </c>
      <c r="M127" s="378"/>
      <c r="N127" s="377" t="str">
        <f>N13</f>
        <v>За отчетный период с 22.02.2020 по 29.02.2020</v>
      </c>
      <c r="O127" s="378"/>
      <c r="P127" s="377" t="str">
        <f>P13</f>
        <v>За отчетный период с 01.03.2020 по 06.03.2020</v>
      </c>
      <c r="Q127" s="378"/>
      <c r="R127" s="349" t="str">
        <f>R13</f>
        <v>За отчетный период с 07.03.2020 по 13.03.2020</v>
      </c>
      <c r="S127" s="350"/>
      <c r="T127" s="349" t="str">
        <f>T13</f>
        <v>За отчетный период с 14.03.2020 по 20.03.2020</v>
      </c>
      <c r="U127" s="350"/>
      <c r="V127" s="349" t="str">
        <f>V13</f>
        <v>За отчетный период с 21.03.2020 по 31.03.2020</v>
      </c>
      <c r="W127" s="350"/>
      <c r="X127" s="349" t="str">
        <f>X13</f>
        <v>За отчетный период с 01.04.2020 по 10.04.2020</v>
      </c>
      <c r="Y127" s="350"/>
      <c r="Z127" s="349" t="str">
        <f>Z13</f>
        <v>За отчетный период с 11.04.020 по 17.04.2020</v>
      </c>
      <c r="AA127" s="350"/>
      <c r="AB127" s="349" t="str">
        <f>AB13</f>
        <v>За отчетный период с 18.04.020 по 24.04.2020</v>
      </c>
      <c r="AC127" s="350"/>
      <c r="AD127" s="349" t="str">
        <f>AD13</f>
        <v>За отчетный период с 25.04.2020 по 30.04.2020</v>
      </c>
      <c r="AE127" s="350"/>
      <c r="AF127" s="349" t="str">
        <f>AF13</f>
        <v>За отчетный период с 01.05.2020 по 08.05.2020</v>
      </c>
      <c r="AG127" s="350"/>
      <c r="AH127" s="349" t="str">
        <f>AH13</f>
        <v>За отчетный период с 09.05.2020 по 15.05.2020</v>
      </c>
      <c r="AI127" s="350"/>
      <c r="AJ127" s="349" t="str">
        <f>AJ13</f>
        <v>За отчетный период с 16.05.2020 по 22.05.2020</v>
      </c>
      <c r="AK127" s="350"/>
      <c r="AL127" s="349" t="str">
        <f>AL13</f>
        <v>За отчетный период с 23.05.2020 по 31.05.2020</v>
      </c>
      <c r="AM127" s="350"/>
      <c r="AN127" s="349" t="str">
        <f>AN13</f>
        <v>За отчетный период с 01.06.2020 по 05.06.2020</v>
      </c>
      <c r="AO127" s="350"/>
      <c r="AP127" s="349" t="str">
        <f>AP13</f>
        <v>За отчетный период с 06.06.2020 по 11.06.2020</v>
      </c>
      <c r="AQ127" s="350"/>
      <c r="AR127" s="349" t="str">
        <f>AR13</f>
        <v>За отчетный период с 12.06.2020 по 19.06.2020</v>
      </c>
      <c r="AS127" s="350"/>
      <c r="AT127" s="349" t="str">
        <f>AT13</f>
        <v>За отчетный период с 20.06.2020 по 26.06.2020</v>
      </c>
      <c r="AU127" s="350"/>
      <c r="AV127" s="349" t="str">
        <f>AV13</f>
        <v>За отчетный период с 01.07.2020 по 03.07.2020</v>
      </c>
      <c r="AW127" s="350"/>
      <c r="AX127" s="349" t="str">
        <f>AX13</f>
        <v>За отчетный период с 04.07.2020 по 10.07.2020</v>
      </c>
      <c r="AY127" s="350"/>
      <c r="AZ127" s="349" t="str">
        <f>AZ13</f>
        <v>За отчетный период с 11.07.2020 по 17.07.2020</v>
      </c>
      <c r="BA127" s="350"/>
      <c r="BB127" s="349" t="str">
        <f>BB13</f>
        <v>За отчетный период с 18.07.2020 по 24.07.2020</v>
      </c>
      <c r="BC127" s="350"/>
      <c r="BD127" s="349" t="str">
        <f>BD13</f>
        <v>За отчетный период с 25.07.2020 по 31.07.2020</v>
      </c>
      <c r="BE127" s="350"/>
      <c r="BF127" s="349" t="str">
        <f>BF13</f>
        <v>За отчетный период с 01.08.2020 по 07.08.2020</v>
      </c>
      <c r="BG127" s="350"/>
      <c r="BH127" s="349" t="str">
        <f>BH13</f>
        <v>За отчетный период с 08.08.2020 по14.08.2020</v>
      </c>
      <c r="BI127" s="350"/>
      <c r="BJ127" s="349" t="str">
        <f>BJ13</f>
        <v>За отчетный период с 15.08.2020 по21.08.2020</v>
      </c>
      <c r="BK127" s="350"/>
      <c r="BL127" s="349" t="str">
        <f>BL13</f>
        <v>За отчетный период с 22.08.2020 по31.08.2020</v>
      </c>
      <c r="BM127" s="350"/>
      <c r="BN127" s="349" t="str">
        <f>BN13</f>
        <v>За отчетный период с 01.09.2020 по 04.09.2020</v>
      </c>
      <c r="BO127" s="350"/>
      <c r="BP127" s="349" t="str">
        <f>BP13</f>
        <v>За отчетный период с 05.09.2020 по 11.09.2020</v>
      </c>
      <c r="BQ127" s="350"/>
      <c r="BR127" s="349" t="str">
        <f>BR13</f>
        <v>За отчетный период с 12.09.2020 по 18.09.2021</v>
      </c>
      <c r="BS127" s="350"/>
      <c r="BT127" s="349" t="str">
        <f>BT13</f>
        <v>За отчетный период с 19.09.2020 по 25.09.2020</v>
      </c>
      <c r="BU127" s="350"/>
      <c r="BV127" s="349" t="str">
        <f>BV13</f>
        <v>За отчетный период с 01.10.2020 по 02.10.2020</v>
      </c>
      <c r="BW127" s="350"/>
      <c r="BX127" s="349" t="str">
        <f>BX13</f>
        <v>За отчетный период с 03.10.2020 по 09.10.2020</v>
      </c>
      <c r="BY127" s="350"/>
      <c r="BZ127" s="349" t="str">
        <f>BZ13</f>
        <v>За отчетный период с 10.10.2020 по 16.10.2020</v>
      </c>
      <c r="CA127" s="350"/>
      <c r="CB127" s="349" t="str">
        <f>CB13</f>
        <v>За отчетный период с 17.10.2020 по 23.10.2020</v>
      </c>
      <c r="CC127" s="350"/>
      <c r="CD127" s="349" t="str">
        <f>CD13</f>
        <v>За отчетный период с 24.10.2020 по 31.10.2020</v>
      </c>
      <c r="CE127" s="350"/>
      <c r="CF127" s="349" t="str">
        <f>CF13</f>
        <v>За отчетный период с 01.11.2020 по 06.11.2020</v>
      </c>
      <c r="CG127" s="350"/>
      <c r="CH127" s="349" t="str">
        <f>CH13</f>
        <v>За отчетный период с 07.11.2020 по 13.11.2020</v>
      </c>
      <c r="CI127" s="350"/>
      <c r="CJ127" s="349" t="str">
        <f>CJ13</f>
        <v>За отчетный период с 14.11.2020 по 20.11.2020</v>
      </c>
      <c r="CK127" s="350"/>
      <c r="CL127" s="349" t="str">
        <f>CL13</f>
        <v>За отчетный период с 21.11.2020 по 27.11.2020</v>
      </c>
      <c r="CM127" s="350"/>
      <c r="CN127" s="349" t="str">
        <f>CN13</f>
        <v>За отчетный период с 01.12.2020 по 04.12.2020</v>
      </c>
      <c r="CO127" s="350"/>
      <c r="CP127" s="349" t="str">
        <f>CP13</f>
        <v>За отчетный период с 05.12.2020 по 11.12.2020</v>
      </c>
      <c r="CQ127" s="350"/>
      <c r="CR127" s="349" t="str">
        <f>CR13</f>
        <v>За отчетный период с 12.12.2020 по 20.12.2020</v>
      </c>
      <c r="CS127" s="350"/>
      <c r="CT127" s="349" t="str">
        <f>CT13</f>
        <v>За отчетный период с 19.12.2020 по 25.12.2020</v>
      </c>
      <c r="CU127" s="350"/>
      <c r="CV127" s="351" t="str">
        <f>CV44</f>
        <v>За отчетный период с 01.12.2020 по 31.12.2020</v>
      </c>
      <c r="CW127" s="352"/>
      <c r="CX127" s="349">
        <f>CX13</f>
        <v>0</v>
      </c>
      <c r="CY127" s="350"/>
      <c r="CZ127" s="349">
        <f>CZ13</f>
        <v>0</v>
      </c>
      <c r="DA127" s="350"/>
      <c r="DB127" s="391">
        <f>DB13</f>
        <v>0</v>
      </c>
      <c r="DC127" s="392"/>
      <c r="DD127" s="391">
        <f>DD13</f>
        <v>0</v>
      </c>
      <c r="DE127" s="392"/>
      <c r="DF127" s="391" t="str">
        <f>DF13</f>
        <v>Выдано в 2020 г.</v>
      </c>
      <c r="DG127" s="392"/>
      <c r="DH127" s="400" t="s">
        <v>57</v>
      </c>
      <c r="DI127" s="401"/>
    </row>
    <row r="128" spans="1:116" x14ac:dyDescent="0.25">
      <c r="A128" s="397"/>
      <c r="B128" s="83" t="s">
        <v>2</v>
      </c>
      <c r="C128" s="17" t="s">
        <v>3</v>
      </c>
      <c r="D128" s="83" t="s">
        <v>2</v>
      </c>
      <c r="E128" s="17" t="s">
        <v>3</v>
      </c>
      <c r="F128" s="37" t="s">
        <v>2</v>
      </c>
      <c r="G128" s="17" t="s">
        <v>3</v>
      </c>
      <c r="H128" s="37" t="s">
        <v>2</v>
      </c>
      <c r="I128" s="17" t="s">
        <v>3</v>
      </c>
      <c r="J128" s="37" t="s">
        <v>2</v>
      </c>
      <c r="K128" s="17" t="s">
        <v>3</v>
      </c>
      <c r="L128" s="37" t="s">
        <v>2</v>
      </c>
      <c r="M128" s="17" t="s">
        <v>3</v>
      </c>
      <c r="N128" s="37" t="s">
        <v>2</v>
      </c>
      <c r="O128" s="17" t="s">
        <v>3</v>
      </c>
      <c r="P128" s="37" t="s">
        <v>2</v>
      </c>
      <c r="Q128" s="17" t="s">
        <v>3</v>
      </c>
      <c r="R128" s="37" t="s">
        <v>2</v>
      </c>
      <c r="S128" s="17" t="s">
        <v>3</v>
      </c>
      <c r="T128" s="37" t="s">
        <v>2</v>
      </c>
      <c r="U128" s="17" t="s">
        <v>3</v>
      </c>
      <c r="V128" s="37" t="s">
        <v>2</v>
      </c>
      <c r="W128" s="17" t="s">
        <v>3</v>
      </c>
      <c r="X128" s="37" t="s">
        <v>2</v>
      </c>
      <c r="Y128" s="17" t="s">
        <v>3</v>
      </c>
      <c r="Z128" s="37" t="s">
        <v>2</v>
      </c>
      <c r="AA128" s="17" t="s">
        <v>3</v>
      </c>
      <c r="AB128" s="37" t="s">
        <v>2</v>
      </c>
      <c r="AC128" s="17" t="s">
        <v>3</v>
      </c>
      <c r="AD128" s="37" t="s">
        <v>2</v>
      </c>
      <c r="AE128" s="17" t="s">
        <v>3</v>
      </c>
      <c r="AF128" s="37" t="s">
        <v>2</v>
      </c>
      <c r="AG128" s="17" t="s">
        <v>3</v>
      </c>
      <c r="AH128" s="37" t="s">
        <v>2</v>
      </c>
      <c r="AI128" s="17" t="s">
        <v>3</v>
      </c>
      <c r="AJ128" s="37" t="s">
        <v>2</v>
      </c>
      <c r="AK128" s="17" t="s">
        <v>3</v>
      </c>
      <c r="AL128" s="37" t="s">
        <v>2</v>
      </c>
      <c r="AM128" s="17" t="s">
        <v>3</v>
      </c>
      <c r="AN128" s="37" t="s">
        <v>2</v>
      </c>
      <c r="AO128" s="17" t="s">
        <v>3</v>
      </c>
      <c r="AP128" s="37" t="s">
        <v>2</v>
      </c>
      <c r="AQ128" s="17" t="s">
        <v>3</v>
      </c>
      <c r="AR128" s="37" t="s">
        <v>2</v>
      </c>
      <c r="AS128" s="17" t="s">
        <v>3</v>
      </c>
      <c r="AT128" s="37" t="s">
        <v>2</v>
      </c>
      <c r="AU128" s="17" t="s">
        <v>3</v>
      </c>
      <c r="AV128" s="37" t="s">
        <v>2</v>
      </c>
      <c r="AW128" s="17" t="s">
        <v>3</v>
      </c>
      <c r="AX128" s="37" t="s">
        <v>2</v>
      </c>
      <c r="AY128" s="17" t="s">
        <v>3</v>
      </c>
      <c r="AZ128" s="37" t="s">
        <v>2</v>
      </c>
      <c r="BA128" s="17" t="s">
        <v>3</v>
      </c>
      <c r="BB128" s="37" t="s">
        <v>2</v>
      </c>
      <c r="BC128" s="17" t="s">
        <v>3</v>
      </c>
      <c r="BD128" s="37" t="s">
        <v>2</v>
      </c>
      <c r="BE128" s="17" t="s">
        <v>3</v>
      </c>
      <c r="BF128" s="37" t="s">
        <v>2</v>
      </c>
      <c r="BG128" s="17" t="s">
        <v>3</v>
      </c>
      <c r="BH128" s="37" t="s">
        <v>2</v>
      </c>
      <c r="BI128" s="17" t="s">
        <v>3</v>
      </c>
      <c r="BJ128" s="37" t="s">
        <v>2</v>
      </c>
      <c r="BK128" s="17" t="s">
        <v>3</v>
      </c>
      <c r="BL128" s="37" t="s">
        <v>2</v>
      </c>
      <c r="BM128" s="17" t="s">
        <v>3</v>
      </c>
      <c r="BN128" s="37" t="s">
        <v>2</v>
      </c>
      <c r="BO128" s="17" t="s">
        <v>3</v>
      </c>
      <c r="BP128" s="51" t="s">
        <v>2</v>
      </c>
      <c r="BQ128" s="17" t="s">
        <v>3</v>
      </c>
      <c r="BR128" s="37" t="s">
        <v>2</v>
      </c>
      <c r="BS128" s="17" t="s">
        <v>3</v>
      </c>
      <c r="BT128" s="37" t="s">
        <v>2</v>
      </c>
      <c r="BU128" s="17" t="s">
        <v>3</v>
      </c>
      <c r="BV128" s="37" t="s">
        <v>2</v>
      </c>
      <c r="BW128" s="17" t="s">
        <v>3</v>
      </c>
      <c r="BX128" s="37" t="s">
        <v>2</v>
      </c>
      <c r="BY128" s="17" t="s">
        <v>3</v>
      </c>
      <c r="BZ128" s="37" t="s">
        <v>2</v>
      </c>
      <c r="CA128" s="17" t="s">
        <v>3</v>
      </c>
      <c r="CB128" s="37" t="s">
        <v>2</v>
      </c>
      <c r="CC128" s="17" t="s">
        <v>3</v>
      </c>
      <c r="CD128" s="37" t="s">
        <v>2</v>
      </c>
      <c r="CE128" s="17" t="s">
        <v>3</v>
      </c>
      <c r="CF128" s="37" t="s">
        <v>2</v>
      </c>
      <c r="CG128" s="17" t="s">
        <v>3</v>
      </c>
      <c r="CH128" s="37" t="s">
        <v>2</v>
      </c>
      <c r="CI128" s="17" t="s">
        <v>3</v>
      </c>
      <c r="CJ128" s="37" t="s">
        <v>2</v>
      </c>
      <c r="CK128" s="17" t="s">
        <v>3</v>
      </c>
      <c r="CL128" s="37" t="s">
        <v>2</v>
      </c>
      <c r="CM128" s="17" t="s">
        <v>3</v>
      </c>
      <c r="CN128" s="37" t="s">
        <v>2</v>
      </c>
      <c r="CO128" s="17" t="s">
        <v>3</v>
      </c>
      <c r="CP128" s="37" t="s">
        <v>2</v>
      </c>
      <c r="CQ128" s="17" t="s">
        <v>3</v>
      </c>
      <c r="CR128" s="37" t="s">
        <v>2</v>
      </c>
      <c r="CS128" s="17" t="s">
        <v>3</v>
      </c>
      <c r="CT128" s="37" t="s">
        <v>2</v>
      </c>
      <c r="CU128" s="17" t="s">
        <v>3</v>
      </c>
      <c r="CV128" s="37" t="s">
        <v>2</v>
      </c>
      <c r="CW128" s="17" t="s">
        <v>3</v>
      </c>
      <c r="CX128" s="37" t="s">
        <v>2</v>
      </c>
      <c r="CY128" s="17" t="s">
        <v>3</v>
      </c>
      <c r="CZ128" s="37" t="s">
        <v>2</v>
      </c>
      <c r="DA128" s="17" t="s">
        <v>3</v>
      </c>
      <c r="DB128" s="37" t="s">
        <v>2</v>
      </c>
      <c r="DC128" s="17" t="s">
        <v>3</v>
      </c>
      <c r="DD128" s="37" t="s">
        <v>2</v>
      </c>
      <c r="DE128" s="17" t="s">
        <v>3</v>
      </c>
      <c r="DF128" s="37" t="s">
        <v>2</v>
      </c>
      <c r="DG128" s="17" t="s">
        <v>3</v>
      </c>
      <c r="DH128" s="29" t="s">
        <v>2</v>
      </c>
      <c r="DI128" s="18" t="s">
        <v>3</v>
      </c>
    </row>
    <row r="129" spans="1:113" x14ac:dyDescent="0.25">
      <c r="A129" s="398"/>
      <c r="B129" s="82"/>
      <c r="C129" s="19"/>
      <c r="D129" s="107"/>
      <c r="E129" s="19"/>
      <c r="F129" s="50"/>
      <c r="G129" s="19"/>
      <c r="H129" s="50"/>
      <c r="I129" s="19"/>
      <c r="J129" s="50"/>
      <c r="K129" s="19"/>
      <c r="L129" s="50"/>
      <c r="M129" s="19"/>
      <c r="N129" s="50"/>
      <c r="O129" s="19"/>
      <c r="P129" s="50"/>
      <c r="Q129" s="19"/>
      <c r="R129" s="50"/>
      <c r="S129" s="19"/>
      <c r="T129" s="68"/>
      <c r="U129" s="19"/>
      <c r="V129" s="43"/>
      <c r="W129" s="19"/>
      <c r="X129" s="43"/>
      <c r="Y129" s="19"/>
      <c r="Z129" s="50"/>
      <c r="AA129" s="19"/>
      <c r="AB129" s="50"/>
      <c r="AC129" s="19"/>
      <c r="AD129" s="76"/>
      <c r="AE129" s="19"/>
      <c r="AF129" s="50"/>
      <c r="AG129" s="19"/>
      <c r="AH129" s="50"/>
      <c r="AI129" s="19"/>
      <c r="AJ129" s="50"/>
      <c r="AK129" s="19"/>
      <c r="AL129" s="50"/>
      <c r="AM129" s="19"/>
      <c r="AN129" s="50"/>
      <c r="AO129" s="19"/>
      <c r="AP129" s="50"/>
      <c r="AQ129" s="19"/>
      <c r="AR129" s="50"/>
      <c r="AS129" s="19"/>
      <c r="AT129" s="50"/>
      <c r="AU129" s="19"/>
      <c r="AV129" s="68"/>
      <c r="AW129" s="19"/>
      <c r="AX129" s="50">
        <v>0</v>
      </c>
      <c r="AY129" s="19">
        <v>0</v>
      </c>
      <c r="AZ129" s="50">
        <v>0</v>
      </c>
      <c r="BA129" s="19">
        <v>0</v>
      </c>
      <c r="BB129" s="50">
        <v>0</v>
      </c>
      <c r="BC129" s="19">
        <v>0</v>
      </c>
      <c r="BD129" s="50"/>
      <c r="BE129" s="19"/>
      <c r="BF129" s="50"/>
      <c r="BG129" s="19"/>
      <c r="BH129" s="50"/>
      <c r="BI129" s="19"/>
      <c r="BJ129" s="50"/>
      <c r="BK129" s="19"/>
      <c r="BL129" s="50"/>
      <c r="BM129" s="19"/>
      <c r="BN129" s="68"/>
      <c r="BO129" s="19"/>
      <c r="BP129" s="131"/>
      <c r="BQ129" s="19"/>
      <c r="BR129" s="82"/>
      <c r="BS129" s="82"/>
      <c r="BT129" s="50"/>
      <c r="BU129" s="10"/>
      <c r="BV129" s="50"/>
      <c r="BW129" s="19"/>
      <c r="BX129" s="76"/>
      <c r="BY129" s="19"/>
      <c r="BZ129" s="50"/>
      <c r="CA129" s="19"/>
      <c r="CB129" s="50"/>
      <c r="CC129" s="19"/>
      <c r="CD129" s="82"/>
      <c r="CE129" s="19"/>
      <c r="CF129" s="50"/>
      <c r="CG129" s="19"/>
      <c r="CH129" s="50"/>
      <c r="CI129" s="19"/>
      <c r="CJ129" s="50"/>
      <c r="CK129" s="19"/>
      <c r="CL129" s="76"/>
      <c r="CM129" s="19"/>
      <c r="CN129" s="76"/>
      <c r="CO129" s="19"/>
      <c r="CP129" s="50"/>
      <c r="CQ129" s="19"/>
      <c r="CR129" s="50"/>
      <c r="CS129" s="19"/>
      <c r="CT129" s="50"/>
      <c r="CU129" s="19"/>
      <c r="CV129" s="76"/>
      <c r="CW129" s="19"/>
      <c r="CX129" s="76"/>
      <c r="CY129" s="19"/>
      <c r="CZ129" s="82"/>
      <c r="DA129" s="82"/>
      <c r="DB129" s="82">
        <v>0</v>
      </c>
      <c r="DC129" s="82">
        <v>0</v>
      </c>
      <c r="DD129" s="82"/>
      <c r="DE129" s="82"/>
      <c r="DF129" s="35">
        <f>B129+CZ129+DD129+D129+F129+H129+J129+L129+N129+P129+R129+T129+V129+X129+Z129+AB129+AD129+AF129+AH129+AJ129+AL129+AN129+AP129+AR129+AT129+AV129+AX129+AZ129+BB129+BD129+BF129+BH129+BJ129+BL129+BN129+BP129+BR129+BT129+BV129+BX129+BZ129+CB129+CD129+CF129+CH129+CJ129+CL129+CN129+CP129+CR129+CT129</f>
        <v>0</v>
      </c>
      <c r="DG129" s="15">
        <f>C129+DA129+DE129+E129+G129+I129+K129+M129+O129+Q129+S129+U129+W129+Y129+AA129+AC129+AE129+AG129+AI129+AK129+AM129+AO129+AQ129+AS129+AU129+AW129+AY129+BA129+BC129+BE129+BG129+BI129+BK129+BM129+BO129+BQ129+BS129+BU129+BW129+BY129+CA129+CC129+CE129+CG129+CI129+CK129+CM129+CO129+CQ129+CS129+CU129</f>
        <v>0</v>
      </c>
      <c r="DH129" s="57">
        <f>DF129+55</f>
        <v>55</v>
      </c>
      <c r="DI129" s="58">
        <f>DG129+9800</f>
        <v>9800</v>
      </c>
    </row>
    <row r="132" spans="1:113" x14ac:dyDescent="0.25">
      <c r="A132" s="390" t="s">
        <v>191</v>
      </c>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0"/>
      <c r="AY132" s="390"/>
      <c r="AZ132" s="390"/>
      <c r="BA132" s="390"/>
      <c r="BB132" s="390"/>
      <c r="BC132" s="390"/>
      <c r="BD132" s="390"/>
      <c r="BE132" s="390"/>
      <c r="BF132" s="390"/>
      <c r="BG132" s="390"/>
      <c r="BH132" s="390"/>
      <c r="BI132" s="390"/>
      <c r="BJ132" s="390"/>
      <c r="BK132" s="390"/>
      <c r="BL132" s="390"/>
      <c r="BM132" s="390"/>
      <c r="BN132" s="390"/>
      <c r="BO132" s="390"/>
      <c r="BP132" s="390"/>
      <c r="BQ132" s="390"/>
      <c r="BR132" s="390"/>
      <c r="BS132" s="390"/>
      <c r="BT132" s="390"/>
      <c r="BU132" s="390"/>
      <c r="BV132" s="390"/>
      <c r="BW132" s="390"/>
      <c r="BX132" s="390"/>
      <c r="BY132" s="390"/>
      <c r="BZ132" s="390"/>
      <c r="CA132" s="390"/>
      <c r="CB132" s="390"/>
      <c r="CC132" s="390"/>
      <c r="CD132" s="390"/>
      <c r="CE132" s="390"/>
      <c r="CF132" s="390"/>
      <c r="CG132" s="390"/>
      <c r="CH132" s="390"/>
      <c r="CI132" s="390"/>
      <c r="CJ132" s="390"/>
      <c r="CK132" s="390"/>
      <c r="CL132" s="390"/>
      <c r="CM132" s="390"/>
      <c r="CN132" s="390"/>
      <c r="CO132" s="390"/>
      <c r="CP132" s="390"/>
      <c r="CQ132" s="390"/>
      <c r="CR132" s="390"/>
      <c r="CS132" s="390"/>
      <c r="CT132" s="390"/>
      <c r="CU132" s="390"/>
      <c r="CV132" s="390"/>
      <c r="CW132" s="390"/>
      <c r="CX132" s="390"/>
      <c r="CY132" s="390"/>
      <c r="CZ132" s="390"/>
      <c r="DA132" s="390"/>
      <c r="DB132" s="390"/>
      <c r="DC132" s="390"/>
      <c r="DD132" s="390"/>
      <c r="DE132" s="390"/>
      <c r="DF132" s="390"/>
      <c r="DG132" s="390"/>
      <c r="DH132" s="390"/>
      <c r="DI132" s="390"/>
    </row>
    <row r="133" spans="1:113" hidden="1" x14ac:dyDescent="0.25">
      <c r="A133" s="2"/>
      <c r="CS133" s="342" t="s">
        <v>225</v>
      </c>
    </row>
    <row r="136" spans="1:113" ht="15.75" customHeight="1" x14ac:dyDescent="0.25">
      <c r="B136" s="3"/>
      <c r="BP136" s="157"/>
      <c r="BR136" s="3"/>
      <c r="BS136" s="3"/>
      <c r="CD136" s="3"/>
      <c r="CZ136" s="3"/>
      <c r="DD136" s="3"/>
    </row>
  </sheetData>
  <mergeCells count="448">
    <mergeCell ref="AB13:AC13"/>
    <mergeCell ref="Z13:AA13"/>
    <mergeCell ref="X13:Y13"/>
    <mergeCell ref="V13:W13"/>
    <mergeCell ref="T13:U13"/>
    <mergeCell ref="P13:Q13"/>
    <mergeCell ref="N13:O13"/>
    <mergeCell ref="BP44:BQ44"/>
    <mergeCell ref="BH44:BI44"/>
    <mergeCell ref="AX44:AY44"/>
    <mergeCell ref="AT44:AU44"/>
    <mergeCell ref="DB13:DC13"/>
    <mergeCell ref="CD13:CE13"/>
    <mergeCell ref="BZ13:CA13"/>
    <mergeCell ref="BR13:BS13"/>
    <mergeCell ref="BL13:BM13"/>
    <mergeCell ref="BH3:BI3"/>
    <mergeCell ref="BF3:BG3"/>
    <mergeCell ref="BF8:BG8"/>
    <mergeCell ref="BZ3:CA3"/>
    <mergeCell ref="CR3:CS3"/>
    <mergeCell ref="CR44:CS44"/>
    <mergeCell ref="CP3:CQ3"/>
    <mergeCell ref="CP44:CQ44"/>
    <mergeCell ref="BT12:BU12"/>
    <mergeCell ref="CF9:CG9"/>
    <mergeCell ref="CD9:CE9"/>
    <mergeCell ref="CF8:CG8"/>
    <mergeCell ref="CJ9:CK9"/>
    <mergeCell ref="CN3:CO3"/>
    <mergeCell ref="CN44:CO44"/>
    <mergeCell ref="CN8:CO8"/>
    <mergeCell ref="CN4:CO4"/>
    <mergeCell ref="CJ8:CK8"/>
    <mergeCell ref="CB3:CC3"/>
    <mergeCell ref="CD4:CE4"/>
    <mergeCell ref="CH8:CI8"/>
    <mergeCell ref="CJ3:CK3"/>
    <mergeCell ref="CJ44:CK44"/>
    <mergeCell ref="CF3:CG3"/>
    <mergeCell ref="CD3:CE3"/>
    <mergeCell ref="CD44:CE44"/>
    <mergeCell ref="BX3:BY3"/>
    <mergeCell ref="BX44:BY44"/>
    <mergeCell ref="BV3:BW3"/>
    <mergeCell ref="BV8:BW8"/>
    <mergeCell ref="BV9:BW9"/>
    <mergeCell ref="BV44:BW44"/>
    <mergeCell ref="BZ12:CA12"/>
    <mergeCell ref="BV4:BW4"/>
    <mergeCell ref="CB4:CC4"/>
    <mergeCell ref="CB8:CC8"/>
    <mergeCell ref="CB9:CC9"/>
    <mergeCell ref="CB44:CC44"/>
    <mergeCell ref="BH8:BI8"/>
    <mergeCell ref="BH9:BI9"/>
    <mergeCell ref="BF9:BG9"/>
    <mergeCell ref="BJ9:BK9"/>
    <mergeCell ref="BD5:BE5"/>
    <mergeCell ref="BH12:BI12"/>
    <mergeCell ref="BF12:BG12"/>
    <mergeCell ref="BP9:BQ9"/>
    <mergeCell ref="BP8:BQ8"/>
    <mergeCell ref="BN8:BO8"/>
    <mergeCell ref="BN9:BO9"/>
    <mergeCell ref="BJ12:BK12"/>
    <mergeCell ref="BL12:BM12"/>
    <mergeCell ref="BN4:BO4"/>
    <mergeCell ref="BP3:BQ3"/>
    <mergeCell ref="BN3:BO3"/>
    <mergeCell ref="BL3:BM3"/>
    <mergeCell ref="BJ3:BK3"/>
    <mergeCell ref="BP12:BQ12"/>
    <mergeCell ref="BN12:BO12"/>
    <mergeCell ref="AJ13:AK13"/>
    <mergeCell ref="BJ8:BK8"/>
    <mergeCell ref="BL8:BM8"/>
    <mergeCell ref="BL9:BM9"/>
    <mergeCell ref="AL44:AM44"/>
    <mergeCell ref="AN8:AO8"/>
    <mergeCell ref="AN9:AO9"/>
    <mergeCell ref="AR5:AS5"/>
    <mergeCell ref="AR8:AS8"/>
    <mergeCell ref="AR9:AS9"/>
    <mergeCell ref="BB12:BC12"/>
    <mergeCell ref="BL44:BM44"/>
    <mergeCell ref="AX5:AY5"/>
    <mergeCell ref="BJ44:BK44"/>
    <mergeCell ref="AJ44:AK44"/>
    <mergeCell ref="AJ12:AK12"/>
    <mergeCell ref="AT13:AU13"/>
    <mergeCell ref="AP13:AQ13"/>
    <mergeCell ref="AN13:AO13"/>
    <mergeCell ref="AV44:AW44"/>
    <mergeCell ref="AZ44:BA44"/>
    <mergeCell ref="BD44:BE44"/>
    <mergeCell ref="AR13:AS13"/>
    <mergeCell ref="AJ9:AK9"/>
    <mergeCell ref="AL8:AM8"/>
    <mergeCell ref="AL9:AM9"/>
    <mergeCell ref="AJ4:AK4"/>
    <mergeCell ref="AH4:AI4"/>
    <mergeCell ref="AF9:AG9"/>
    <mergeCell ref="AP4:AQ4"/>
    <mergeCell ref="AN4:AO4"/>
    <mergeCell ref="AN5:AO5"/>
    <mergeCell ref="AP8:AQ8"/>
    <mergeCell ref="AH5:AI5"/>
    <mergeCell ref="AH8:AI8"/>
    <mergeCell ref="AH9:AI9"/>
    <mergeCell ref="AF5:AG5"/>
    <mergeCell ref="AL4:AM4"/>
    <mergeCell ref="AF4:AG4"/>
    <mergeCell ref="AF8:AG8"/>
    <mergeCell ref="CR4:CS4"/>
    <mergeCell ref="CR8:CS8"/>
    <mergeCell ref="CR9:CS9"/>
    <mergeCell ref="CP4:CQ4"/>
    <mergeCell ref="CL4:CM4"/>
    <mergeCell ref="CP8:CQ8"/>
    <mergeCell ref="CP9:CQ9"/>
    <mergeCell ref="AF13:AG13"/>
    <mergeCell ref="AP3:AQ3"/>
    <mergeCell ref="AL3:AM3"/>
    <mergeCell ref="AR4:AS4"/>
    <mergeCell ref="AZ3:BA3"/>
    <mergeCell ref="AT3:AU3"/>
    <mergeCell ref="BB3:BC3"/>
    <mergeCell ref="AX3:AY3"/>
    <mergeCell ref="AT8:AU8"/>
    <mergeCell ref="AV9:AW9"/>
    <mergeCell ref="AV5:AW5"/>
    <mergeCell ref="AT9:AU9"/>
    <mergeCell ref="AT5:AU5"/>
    <mergeCell ref="AZ8:BA8"/>
    <mergeCell ref="AZ9:BA9"/>
    <mergeCell ref="AT4:AU4"/>
    <mergeCell ref="AX4:AY4"/>
    <mergeCell ref="DH6:DI6"/>
    <mergeCell ref="CZ4:DA4"/>
    <mergeCell ref="CX8:CY8"/>
    <mergeCell ref="CX9:CY9"/>
    <mergeCell ref="CX4:CY4"/>
    <mergeCell ref="CT8:CU8"/>
    <mergeCell ref="CT9:CU9"/>
    <mergeCell ref="CT4:CU4"/>
    <mergeCell ref="DF4:DG4"/>
    <mergeCell ref="DF5:DG5"/>
    <mergeCell ref="DH4:DI4"/>
    <mergeCell ref="DF6:DG6"/>
    <mergeCell ref="BR12:BS12"/>
    <mergeCell ref="CZ12:DA12"/>
    <mergeCell ref="CR12:CS12"/>
    <mergeCell ref="CL9:CM9"/>
    <mergeCell ref="BX127:BY127"/>
    <mergeCell ref="CN9:CO9"/>
    <mergeCell ref="CL8:CM8"/>
    <mergeCell ref="CF127:CG127"/>
    <mergeCell ref="CB12:CC12"/>
    <mergeCell ref="CL44:CM44"/>
    <mergeCell ref="CH44:CI44"/>
    <mergeCell ref="BZ44:CA44"/>
    <mergeCell ref="CF44:CG44"/>
    <mergeCell ref="BT13:BU13"/>
    <mergeCell ref="BV127:BW127"/>
    <mergeCell ref="CB127:CC127"/>
    <mergeCell ref="BR9:BS9"/>
    <mergeCell ref="BX12:BY12"/>
    <mergeCell ref="BR44:BS44"/>
    <mergeCell ref="DF12:DG12"/>
    <mergeCell ref="CD12:CE12"/>
    <mergeCell ref="CX127:CY127"/>
    <mergeCell ref="CX13:CY13"/>
    <mergeCell ref="DD12:DE12"/>
    <mergeCell ref="CF12:CG12"/>
    <mergeCell ref="CH12:CI12"/>
    <mergeCell ref="CJ12:CK12"/>
    <mergeCell ref="CL12:CM12"/>
    <mergeCell ref="CX12:CY12"/>
    <mergeCell ref="CP12:CQ12"/>
    <mergeCell ref="CT12:CU12"/>
    <mergeCell ref="CN12:CO12"/>
    <mergeCell ref="CT127:CU127"/>
    <mergeCell ref="CJ127:CK127"/>
    <mergeCell ref="CL127:CM127"/>
    <mergeCell ref="CL13:CM13"/>
    <mergeCell ref="CP127:CQ127"/>
    <mergeCell ref="CR127:CS127"/>
    <mergeCell ref="CH13:CI13"/>
    <mergeCell ref="CF13:CG13"/>
    <mergeCell ref="CD127:CE127"/>
    <mergeCell ref="DF44:DG44"/>
    <mergeCell ref="BP127:BQ127"/>
    <mergeCell ref="BR127:BS127"/>
    <mergeCell ref="BT127:BU127"/>
    <mergeCell ref="A53:DI53"/>
    <mergeCell ref="DH127:DI127"/>
    <mergeCell ref="BJ127:BK127"/>
    <mergeCell ref="BL127:BM127"/>
    <mergeCell ref="CH127:CI127"/>
    <mergeCell ref="BZ127:CA127"/>
    <mergeCell ref="AP127:AQ127"/>
    <mergeCell ref="DB127:DC127"/>
    <mergeCell ref="CN127:CO127"/>
    <mergeCell ref="BF13:BG13"/>
    <mergeCell ref="BD127:BE127"/>
    <mergeCell ref="BN127:BO127"/>
    <mergeCell ref="BJ13:BK13"/>
    <mergeCell ref="BH127:BI127"/>
    <mergeCell ref="BH13:BI13"/>
    <mergeCell ref="AV13:AW13"/>
    <mergeCell ref="AV127:AW127"/>
    <mergeCell ref="AX13:AY13"/>
    <mergeCell ref="AZ127:BA127"/>
    <mergeCell ref="AZ13:BA13"/>
    <mergeCell ref="BF127:BG127"/>
    <mergeCell ref="BB127:BC127"/>
    <mergeCell ref="CJ13:CK13"/>
    <mergeCell ref="BV13:BW13"/>
    <mergeCell ref="BX13:BY13"/>
    <mergeCell ref="A132:DI132"/>
    <mergeCell ref="B127:C127"/>
    <mergeCell ref="CZ127:DA127"/>
    <mergeCell ref="DD127:DE127"/>
    <mergeCell ref="DF127:DG127"/>
    <mergeCell ref="DF13:DG13"/>
    <mergeCell ref="DH13:DI13"/>
    <mergeCell ref="A54:DI54"/>
    <mergeCell ref="A127:A129"/>
    <mergeCell ref="CN13:CO13"/>
    <mergeCell ref="CP13:CQ13"/>
    <mergeCell ref="CR13:CS13"/>
    <mergeCell ref="CT13:CU13"/>
    <mergeCell ref="CZ13:DA13"/>
    <mergeCell ref="DD13:DE13"/>
    <mergeCell ref="CB13:CC13"/>
    <mergeCell ref="H13:I13"/>
    <mergeCell ref="F127:G127"/>
    <mergeCell ref="AX127:AY127"/>
    <mergeCell ref="H127:I127"/>
    <mergeCell ref="BN13:BO13"/>
    <mergeCell ref="DH44:DI49"/>
    <mergeCell ref="AN127:AO127"/>
    <mergeCell ref="BN44:BO44"/>
    <mergeCell ref="A1:DI1"/>
    <mergeCell ref="A2:DI2"/>
    <mergeCell ref="L12:M12"/>
    <mergeCell ref="N12:O12"/>
    <mergeCell ref="P12:Q12"/>
    <mergeCell ref="R12:S12"/>
    <mergeCell ref="T12:U12"/>
    <mergeCell ref="V12:W12"/>
    <mergeCell ref="B12:C12"/>
    <mergeCell ref="D12:E12"/>
    <mergeCell ref="F12:G12"/>
    <mergeCell ref="H12:I12"/>
    <mergeCell ref="J12:K12"/>
    <mergeCell ref="AP12:AQ12"/>
    <mergeCell ref="AR12:AS12"/>
    <mergeCell ref="AB12:AC12"/>
    <mergeCell ref="BR8:BS8"/>
    <mergeCell ref="D4:E4"/>
    <mergeCell ref="F8:G8"/>
    <mergeCell ref="BV12:BW12"/>
    <mergeCell ref="BP13:BQ13"/>
    <mergeCell ref="DH12:DI12"/>
    <mergeCell ref="P8:Q8"/>
    <mergeCell ref="CD8:CE8"/>
    <mergeCell ref="CH9:CI9"/>
    <mergeCell ref="P127:Q127"/>
    <mergeCell ref="T127:U127"/>
    <mergeCell ref="R13:S13"/>
    <mergeCell ref="R127:S127"/>
    <mergeCell ref="AB127:AC127"/>
    <mergeCell ref="X127:Y127"/>
    <mergeCell ref="AB44:AC44"/>
    <mergeCell ref="AD127:AE127"/>
    <mergeCell ref="AH127:AI127"/>
    <mergeCell ref="AH13:AI13"/>
    <mergeCell ref="AP44:AQ44"/>
    <mergeCell ref="AJ127:AK127"/>
    <mergeCell ref="BF44:BG44"/>
    <mergeCell ref="AL13:AM13"/>
    <mergeCell ref="AD12:AE12"/>
    <mergeCell ref="AD8:AE8"/>
    <mergeCell ref="BT8:BU8"/>
    <mergeCell ref="BT9:BU9"/>
    <mergeCell ref="BT44:BU44"/>
    <mergeCell ref="AD44:AE44"/>
    <mergeCell ref="D127:E127"/>
    <mergeCell ref="Z127:AA127"/>
    <mergeCell ref="V127:W127"/>
    <mergeCell ref="L127:M127"/>
    <mergeCell ref="N127:O127"/>
    <mergeCell ref="J127:K127"/>
    <mergeCell ref="AL5:AM5"/>
    <mergeCell ref="BD8:BE8"/>
    <mergeCell ref="BD9:BE9"/>
    <mergeCell ref="AN44:AO44"/>
    <mergeCell ref="BB44:BC44"/>
    <mergeCell ref="AR44:AS44"/>
    <mergeCell ref="BB13:BC13"/>
    <mergeCell ref="AN12:AO12"/>
    <mergeCell ref="BD12:BE12"/>
    <mergeCell ref="BD13:BE13"/>
    <mergeCell ref="AX8:AY8"/>
    <mergeCell ref="AX9:AY9"/>
    <mergeCell ref="BB8:BC8"/>
    <mergeCell ref="BB9:BC9"/>
    <mergeCell ref="BB5:BC5"/>
    <mergeCell ref="AZ5:BA5"/>
    <mergeCell ref="AP9:AQ9"/>
    <mergeCell ref="AP5:AQ5"/>
    <mergeCell ref="AV8:AW8"/>
    <mergeCell ref="AD5:AE5"/>
    <mergeCell ref="AF127:AG127"/>
    <mergeCell ref="AF44:AG44"/>
    <mergeCell ref="AH44:AI44"/>
    <mergeCell ref="AR127:AS127"/>
    <mergeCell ref="AT127:AU127"/>
    <mergeCell ref="AL127:AM127"/>
    <mergeCell ref="DF3:DG3"/>
    <mergeCell ref="AF12:AG12"/>
    <mergeCell ref="AH12:AI12"/>
    <mergeCell ref="AZ4:BA4"/>
    <mergeCell ref="BZ8:CA8"/>
    <mergeCell ref="BZ9:CA9"/>
    <mergeCell ref="BZ4:CA4"/>
    <mergeCell ref="BX4:BY4"/>
    <mergeCell ref="BT4:BU4"/>
    <mergeCell ref="BX8:BY8"/>
    <mergeCell ref="BX9:BY9"/>
    <mergeCell ref="BF4:BG4"/>
    <mergeCell ref="AV12:AW12"/>
    <mergeCell ref="AL12:AM12"/>
    <mergeCell ref="AT12:AU12"/>
    <mergeCell ref="AX12:AY12"/>
    <mergeCell ref="AZ12:BA12"/>
    <mergeCell ref="Z12:AA12"/>
    <mergeCell ref="L4:M4"/>
    <mergeCell ref="R5:S5"/>
    <mergeCell ref="T8:U8"/>
    <mergeCell ref="F4:G4"/>
    <mergeCell ref="L8:M8"/>
    <mergeCell ref="B8:C8"/>
    <mergeCell ref="H9:I9"/>
    <mergeCell ref="F5:G5"/>
    <mergeCell ref="H5:I5"/>
    <mergeCell ref="H8:I8"/>
    <mergeCell ref="J8:K8"/>
    <mergeCell ref="J9:K9"/>
    <mergeCell ref="J4:K4"/>
    <mergeCell ref="F3:G3"/>
    <mergeCell ref="J3:K3"/>
    <mergeCell ref="H3:I3"/>
    <mergeCell ref="AN3:AO3"/>
    <mergeCell ref="AV3:AW3"/>
    <mergeCell ref="BJ4:BK4"/>
    <mergeCell ref="BL4:BM4"/>
    <mergeCell ref="BR4:BS4"/>
    <mergeCell ref="CL3:CM3"/>
    <mergeCell ref="CH3:CI3"/>
    <mergeCell ref="H4:I4"/>
    <mergeCell ref="BB4:BC4"/>
    <mergeCell ref="CJ4:CK4"/>
    <mergeCell ref="CF4:CG4"/>
    <mergeCell ref="AV4:AW4"/>
    <mergeCell ref="AF3:AG3"/>
    <mergeCell ref="AJ3:AK3"/>
    <mergeCell ref="AH3:AI3"/>
    <mergeCell ref="AR3:AS3"/>
    <mergeCell ref="CH4:CI4"/>
    <mergeCell ref="BD3:BE3"/>
    <mergeCell ref="BR3:BS3"/>
    <mergeCell ref="BD4:BE4"/>
    <mergeCell ref="BH4:BI4"/>
    <mergeCell ref="AD9:AE9"/>
    <mergeCell ref="AB3:AC3"/>
    <mergeCell ref="V3:W3"/>
    <mergeCell ref="L3:M3"/>
    <mergeCell ref="N3:O3"/>
    <mergeCell ref="AB8:AC8"/>
    <mergeCell ref="AB9:AC9"/>
    <mergeCell ref="AB4:AC4"/>
    <mergeCell ref="AD3:AE3"/>
    <mergeCell ref="Z3:AA3"/>
    <mergeCell ref="V5:W5"/>
    <mergeCell ref="X8:Y8"/>
    <mergeCell ref="Z5:AA5"/>
    <mergeCell ref="Z8:AA8"/>
    <mergeCell ref="Z9:AA9"/>
    <mergeCell ref="AB5:AC5"/>
    <mergeCell ref="R8:S8"/>
    <mergeCell ref="P4:Q4"/>
    <mergeCell ref="X5:Y5"/>
    <mergeCell ref="P9:Q9"/>
    <mergeCell ref="L9:M9"/>
    <mergeCell ref="N5:O5"/>
    <mergeCell ref="P5:Q5"/>
    <mergeCell ref="V4:W4"/>
    <mergeCell ref="R4:S4"/>
    <mergeCell ref="F9:G9"/>
    <mergeCell ref="T9:U9"/>
    <mergeCell ref="X9:Y9"/>
    <mergeCell ref="R9:S9"/>
    <mergeCell ref="X4:Y4"/>
    <mergeCell ref="B4:C4"/>
    <mergeCell ref="T5:U5"/>
    <mergeCell ref="A44:A45"/>
    <mergeCell ref="J5:K5"/>
    <mergeCell ref="T4:U4"/>
    <mergeCell ref="V8:W8"/>
    <mergeCell ref="V9:W9"/>
    <mergeCell ref="A13:A14"/>
    <mergeCell ref="B13:C13"/>
    <mergeCell ref="BT3:BU3"/>
    <mergeCell ref="R3:S3"/>
    <mergeCell ref="X3:Y3"/>
    <mergeCell ref="T3:U3"/>
    <mergeCell ref="P3:Q3"/>
    <mergeCell ref="A10:AA10"/>
    <mergeCell ref="X12:Y12"/>
    <mergeCell ref="BP4:BQ4"/>
    <mergeCell ref="AD13:AE13"/>
    <mergeCell ref="D13:E13"/>
    <mergeCell ref="F13:G13"/>
    <mergeCell ref="J13:K13"/>
    <mergeCell ref="L13:M13"/>
    <mergeCell ref="B9:C9"/>
    <mergeCell ref="D8:E8"/>
    <mergeCell ref="AJ8:AK8"/>
    <mergeCell ref="AJ5:AK5"/>
    <mergeCell ref="N9:O9"/>
    <mergeCell ref="Z4:AA4"/>
    <mergeCell ref="AD4:AE4"/>
    <mergeCell ref="N8:O8"/>
    <mergeCell ref="D9:E9"/>
    <mergeCell ref="L5:M5"/>
    <mergeCell ref="N4:O4"/>
    <mergeCell ref="CT3:CU3"/>
    <mergeCell ref="CT44:CU44"/>
    <mergeCell ref="CV8:CW8"/>
    <mergeCell ref="CV9:CW9"/>
    <mergeCell ref="CV3:CW3"/>
    <mergeCell ref="CV4:CW4"/>
    <mergeCell ref="CV13:CW13"/>
    <mergeCell ref="CV44:CW44"/>
    <mergeCell ref="CV127:CW127"/>
  </mergeCells>
  <pageMargins left="0.70866141732283472" right="0.31496062992125984" top="0.35433070866141736" bottom="0.35433070866141736" header="0.31496062992125984" footer="0.31496062992125984"/>
  <pageSetup paperSize="9" scale="67" fitToHeight="2" orientation="portrait" r:id="rId1"/>
  <rowBreaks count="1" manualBreakCount="1">
    <brk id="52" max="1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2</vt:i4>
      </vt:variant>
      <vt:variant>
        <vt:lpstr>Диаграммы</vt:lpstr>
      </vt:variant>
      <vt:variant>
        <vt:i4>1</vt:i4>
      </vt:variant>
      <vt:variant>
        <vt:lpstr>Именованные диапазоны</vt:lpstr>
      </vt:variant>
      <vt:variant>
        <vt:i4>1</vt:i4>
      </vt:variant>
    </vt:vector>
  </HeadingPairs>
  <TitlesOfParts>
    <vt:vector size="4" baseType="lpstr">
      <vt:lpstr>Лист2</vt:lpstr>
      <vt:lpstr>Лист1</vt:lpstr>
      <vt:lpstr>Диаграмма1</vt:lpstr>
      <vt:lpstr>Лист2!Область_печати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2021-01-14T09:41:10Z</dcterms:modified>
</cp:coreProperties>
</file>